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ce30779\Desktop\Webstránka\Financie\"/>
    </mc:Choice>
  </mc:AlternateContent>
  <xr:revisionPtr revIDLastSave="0" documentId="8_{67DB5FA8-6C5F-4BB2-8DDD-2D8F9892F572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Dane a poplatky" sheetId="1" r:id="rId1"/>
    <sheet name="Rozpočet" sheetId="2" r:id="rId2"/>
    <sheet name="Návod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2" l="1"/>
  <c r="H7" i="2"/>
  <c r="G7" i="2"/>
  <c r="I25" i="2" l="1"/>
  <c r="H25" i="2"/>
  <c r="G25" i="2"/>
  <c r="G55" i="2"/>
  <c r="G54" i="2"/>
  <c r="E46" i="2" l="1"/>
  <c r="E59" i="2" s="1"/>
  <c r="E62" i="2"/>
  <c r="E15" i="2"/>
  <c r="E19" i="2"/>
  <c r="F62" i="2"/>
  <c r="F34" i="2"/>
  <c r="F59" i="2" s="1"/>
  <c r="F19" i="2"/>
  <c r="F7" i="2"/>
  <c r="F15" i="2" s="1"/>
  <c r="F20" i="2" s="1"/>
  <c r="F21" i="2" s="1"/>
  <c r="F65" i="2" s="1"/>
  <c r="E20" i="2" l="1"/>
  <c r="E21" i="2" s="1"/>
  <c r="E65" i="2" s="1"/>
  <c r="E63" i="2"/>
  <c r="E64" i="2" s="1"/>
  <c r="E66" i="2" s="1"/>
  <c r="F63" i="2"/>
  <c r="F64" i="2" s="1"/>
  <c r="F66" i="2" s="1"/>
  <c r="F67" i="2" s="1"/>
  <c r="E67" i="2" l="1"/>
  <c r="H34" i="2" l="1"/>
  <c r="I34" i="2"/>
  <c r="H35" i="2"/>
  <c r="I35" i="2" s="1"/>
  <c r="H28" i="2"/>
  <c r="H29" i="2"/>
  <c r="H30" i="2"/>
  <c r="H31" i="2"/>
  <c r="H32" i="2"/>
  <c r="H33" i="2"/>
  <c r="H27" i="2"/>
  <c r="G34" i="2"/>
  <c r="G35" i="2"/>
  <c r="G18" i="1"/>
  <c r="G10" i="2" s="1"/>
  <c r="H10" i="2" s="1"/>
  <c r="I10" i="2" s="1"/>
  <c r="E18" i="1"/>
  <c r="G32" i="2"/>
  <c r="G62" i="2"/>
  <c r="I61" i="2"/>
  <c r="I60" i="2"/>
  <c r="H60" i="2"/>
  <c r="H62" i="2" s="1"/>
  <c r="H52" i="2"/>
  <c r="I52" i="2" s="1"/>
  <c r="I36" i="2"/>
  <c r="G19" i="2"/>
  <c r="I18" i="2"/>
  <c r="H18" i="2"/>
  <c r="I17" i="2"/>
  <c r="H17" i="2"/>
  <c r="H19" i="2" s="1"/>
  <c r="I14" i="2"/>
  <c r="H14" i="2"/>
  <c r="I13" i="2"/>
  <c r="I19" i="2" l="1"/>
  <c r="I26" i="2"/>
  <c r="I29" i="2"/>
  <c r="I62" i="2"/>
  <c r="G27" i="2"/>
  <c r="G59" i="2" s="1"/>
  <c r="G63" i="2" s="1"/>
  <c r="G64" i="2" s="1"/>
  <c r="G66" i="2" s="1"/>
  <c r="G29" i="2"/>
  <c r="G31" i="2"/>
  <c r="G33" i="2"/>
  <c r="G47" i="2"/>
  <c r="H47" i="2" s="1"/>
  <c r="I47" i="2" s="1"/>
  <c r="G26" i="2"/>
  <c r="G28" i="2"/>
  <c r="G30" i="2"/>
  <c r="H26" i="2"/>
  <c r="H59" i="2" s="1"/>
  <c r="H63" i="2" s="1"/>
  <c r="H64" i="2" s="1"/>
  <c r="H66" i="2" s="1"/>
  <c r="I27" i="2"/>
  <c r="I32" i="2"/>
  <c r="I30" i="2"/>
  <c r="I28" i="2"/>
  <c r="I33" i="2"/>
  <c r="I31" i="2"/>
  <c r="I59" i="2" l="1"/>
  <c r="I63" i="2" s="1"/>
  <c r="I64" i="2" s="1"/>
  <c r="I66" i="2" s="1"/>
  <c r="G19" i="1" l="1"/>
  <c r="G11" i="2" s="1"/>
  <c r="H11" i="2" s="1"/>
  <c r="E19" i="1"/>
  <c r="G17" i="1"/>
  <c r="E17" i="1"/>
  <c r="G16" i="1"/>
  <c r="E16" i="1"/>
  <c r="G15" i="1"/>
  <c r="E15" i="1"/>
  <c r="G14" i="1"/>
  <c r="E14" i="1"/>
  <c r="G13" i="1"/>
  <c r="E13" i="1"/>
  <c r="G12" i="1"/>
  <c r="E12" i="1"/>
  <c r="G11" i="1"/>
  <c r="H11" i="1" s="1"/>
  <c r="E11" i="1"/>
  <c r="G10" i="1"/>
  <c r="E10" i="1"/>
  <c r="G9" i="1"/>
  <c r="E9" i="1"/>
  <c r="G8" i="1"/>
  <c r="E8" i="1"/>
  <c r="G7" i="1"/>
  <c r="E7" i="1"/>
  <c r="G6" i="1"/>
  <c r="H6" i="1" s="1"/>
  <c r="E6" i="1"/>
  <c r="E5" i="1"/>
  <c r="B5" i="1"/>
  <c r="G5" i="1" s="1"/>
  <c r="H5" i="1" s="1"/>
  <c r="B4" i="1"/>
  <c r="G4" i="1" s="1"/>
  <c r="G3" i="1"/>
  <c r="H3" i="1" s="1"/>
  <c r="E3" i="1"/>
  <c r="G2" i="1"/>
  <c r="E2" i="1"/>
  <c r="H14" i="1" l="1"/>
  <c r="G9" i="2"/>
  <c r="H9" i="2" s="1"/>
  <c r="I9" i="2" s="1"/>
  <c r="E4" i="1"/>
  <c r="H4" i="1" s="1"/>
  <c r="H8" i="1"/>
  <c r="H12" i="1"/>
  <c r="H16" i="1"/>
  <c r="H13" i="1"/>
  <c r="H17" i="1"/>
  <c r="H19" i="1"/>
  <c r="H15" i="1"/>
  <c r="H9" i="1"/>
  <c r="G8" i="2"/>
  <c r="H8" i="2" s="1"/>
  <c r="I8" i="2" s="1"/>
  <c r="H7" i="1"/>
  <c r="I11" i="2"/>
  <c r="H10" i="1"/>
  <c r="G21" i="1"/>
  <c r="H18" i="1"/>
  <c r="H2" i="1"/>
  <c r="E21" i="1" l="1"/>
  <c r="H15" i="2"/>
  <c r="H20" i="2" s="1"/>
  <c r="H21" i="2" s="1"/>
  <c r="H65" i="2" s="1"/>
  <c r="H67" i="2" s="1"/>
  <c r="I15" i="2"/>
  <c r="I20" i="2" s="1"/>
  <c r="I21" i="2" s="1"/>
  <c r="I65" i="2" s="1"/>
  <c r="I67" i="2" s="1"/>
  <c r="H21" i="1"/>
  <c r="G15" i="2"/>
  <c r="G20" i="2" s="1"/>
  <c r="G21" i="2" s="1"/>
  <c r="G65" i="2" s="1"/>
  <c r="G67" i="2" s="1"/>
</calcChain>
</file>

<file path=xl/sharedStrings.xml><?xml version="1.0" encoding="utf-8"?>
<sst xmlns="http://schemas.openxmlformats.org/spreadsheetml/2006/main" count="181" uniqueCount="139">
  <si>
    <t>Druh</t>
  </si>
  <si>
    <t>Výmera</t>
  </si>
  <si>
    <t>Hodnota</t>
  </si>
  <si>
    <t>Sadzba</t>
  </si>
  <si>
    <t>Výber</t>
  </si>
  <si>
    <t>Nová sadzba</t>
  </si>
  <si>
    <t>Nový výber</t>
  </si>
  <si>
    <t>Rozdiel</t>
  </si>
  <si>
    <t>Orná</t>
  </si>
  <si>
    <t>TTP</t>
  </si>
  <si>
    <t>Záhrady</t>
  </si>
  <si>
    <t>Zastavané</t>
  </si>
  <si>
    <t>Ostatné</t>
  </si>
  <si>
    <t>Rybníky</t>
  </si>
  <si>
    <t>Lesné</t>
  </si>
  <si>
    <t>Stavebné</t>
  </si>
  <si>
    <t>Bývanie</t>
  </si>
  <si>
    <t>Pôdohospodárske</t>
  </si>
  <si>
    <t>Chaty</t>
  </si>
  <si>
    <t>Garáže</t>
  </si>
  <si>
    <t>Podnikanie</t>
  </si>
  <si>
    <t>Byty</t>
  </si>
  <si>
    <t>Nebytové</t>
  </si>
  <si>
    <t>Spolu</t>
  </si>
  <si>
    <t>Pozemky</t>
  </si>
  <si>
    <t>Stavby</t>
  </si>
  <si>
    <t>Vami navrhnuté sadzby</t>
  </si>
  <si>
    <t>Pes</t>
  </si>
  <si>
    <t>Odpad</t>
  </si>
  <si>
    <t xml:space="preserve">Obec </t>
  </si>
  <si>
    <t>Vyšná Jedľová</t>
  </si>
  <si>
    <t>Klasifikácia</t>
  </si>
  <si>
    <t>Kód zdroja</t>
  </si>
  <si>
    <t>Text</t>
  </si>
  <si>
    <t>funkčná</t>
  </si>
  <si>
    <t>ekonomická</t>
  </si>
  <si>
    <t>PRÍJEM:</t>
  </si>
  <si>
    <t>Výnos dane z príjmov samospráve</t>
  </si>
  <si>
    <t>Daň z pozemkov</t>
  </si>
  <si>
    <t>Daň zo stavieb</t>
  </si>
  <si>
    <t>Daň za psa</t>
  </si>
  <si>
    <t>Poplatky za likvidáciu TKO</t>
  </si>
  <si>
    <t>Príjmy z prenajatých pozemkov</t>
  </si>
  <si>
    <t>Príjmy z prenajatých budov</t>
  </si>
  <si>
    <t>Poplatky ostatné - správne</t>
  </si>
  <si>
    <t>Spolu bežné príjmy - vlastné zdroje</t>
  </si>
  <si>
    <t>REGOB</t>
  </si>
  <si>
    <t>Register adries</t>
  </si>
  <si>
    <t>Starostlivosť o ŽP</t>
  </si>
  <si>
    <t>Spolu bežné príjmy - štátne zdroje</t>
  </si>
  <si>
    <t xml:space="preserve">BEŽNÉ PRÍJMY </t>
  </si>
  <si>
    <t>SPOLU PRÍJMY</t>
  </si>
  <si>
    <t>VÝDAJ:</t>
  </si>
  <si>
    <t>0111</t>
  </si>
  <si>
    <t xml:space="preserve">611.    </t>
  </si>
  <si>
    <t>Základný plat</t>
  </si>
  <si>
    <t>Poistné do VšZP</t>
  </si>
  <si>
    <t>Nemocenské poistenie</t>
  </si>
  <si>
    <t>Na starobné poistenie</t>
  </si>
  <si>
    <t>Na úrazové poistenie</t>
  </si>
  <si>
    <t>Na invalidné poistenie</t>
  </si>
  <si>
    <t>Na poistenie v nezamestnanosti</t>
  </si>
  <si>
    <t>Na poistenie do rezervného fondu</t>
  </si>
  <si>
    <t>Cestovné náhrady</t>
  </si>
  <si>
    <t>Energie</t>
  </si>
  <si>
    <t>Poštovné služby</t>
  </si>
  <si>
    <t>Telekomunikačné služby</t>
  </si>
  <si>
    <t>Interierové vybavenie</t>
  </si>
  <si>
    <t>Všeobecný materiál</t>
  </si>
  <si>
    <t>Údržba strojov, prístrojov a zariadení</t>
  </si>
  <si>
    <t>Údržba budov, priestorov a objektov</t>
  </si>
  <si>
    <t>Všeobecné služby</t>
  </si>
  <si>
    <t>Poplatky, odvody, dane</t>
  </si>
  <si>
    <t>Poistné</t>
  </si>
  <si>
    <t>Prídel do SF</t>
  </si>
  <si>
    <t>Odmeny a príspevky - poslancom</t>
  </si>
  <si>
    <t>Odmeny pracovníkov mimopracovného pomeru</t>
  </si>
  <si>
    <t>Na členské príspevky</t>
  </si>
  <si>
    <t>0170</t>
  </si>
  <si>
    <t>Splátka bankové úvery</t>
  </si>
  <si>
    <t>0320</t>
  </si>
  <si>
    <t>0451</t>
  </si>
  <si>
    <t>Cestná doprava - výlet</t>
  </si>
  <si>
    <t>0510</t>
  </si>
  <si>
    <t>Všeobecné služby - odvoz TKO</t>
  </si>
  <si>
    <t>Zákonný poplatok - TKO</t>
  </si>
  <si>
    <t>0640</t>
  </si>
  <si>
    <t>Energie - verejné osvetlenie</t>
  </si>
  <si>
    <t>Údržba verejného osvetlenia</t>
  </si>
  <si>
    <t>0860</t>
  </si>
  <si>
    <t>Konkurzy, súťaže - obecné akcie</t>
  </si>
  <si>
    <t>Spolu bežné výdavky - vlastné zdroje</t>
  </si>
  <si>
    <t>Základný plat - REGOB, Register adries</t>
  </si>
  <si>
    <t>0560</t>
  </si>
  <si>
    <t>Všeobecné služby - SOcÚ starostlivosť o ŽP</t>
  </si>
  <si>
    <t>Spolu bežné výdavky - štátne zdroje</t>
  </si>
  <si>
    <t>BEŽNÉ VÝDAVKY</t>
  </si>
  <si>
    <t>SPOLU VÝDAVKY</t>
  </si>
  <si>
    <t>CELKOVÉ HOSPODÁRENIE OBCE</t>
  </si>
  <si>
    <t>Garančný fond a podpora skrátenej práce</t>
  </si>
  <si>
    <t>011</t>
  </si>
  <si>
    <t>Všeobecné služby - úradovňa</t>
  </si>
  <si>
    <t>2023  rozpočet</t>
  </si>
  <si>
    <t>2022  skutočnosť</t>
  </si>
  <si>
    <t>Cestovné náhrady pri služobných cestách v zmysle zákona</t>
  </si>
  <si>
    <t>Myslí sa tým predovšetkým nábytok</t>
  </si>
  <si>
    <t>Rôzny materiál od strunky do kosačky po šmýkalku na ihrisku</t>
  </si>
  <si>
    <t>Reprezentačné</t>
  </si>
  <si>
    <t>Alkohol na akcie, darčeky pre jubilantov a pod.</t>
  </si>
  <si>
    <t>Predovšetkým údržba krovinorezov</t>
  </si>
  <si>
    <t>Predovšetkým údržba budov</t>
  </si>
  <si>
    <t>Webstránka, Slovgram, bibliobus, CVČ a pod</t>
  </si>
  <si>
    <t>Odmeny vrátane odvodov</t>
  </si>
  <si>
    <t>Členstvo v ZMOS, ZMOD, MAS Dukla a Mikroregión Beskyd</t>
  </si>
  <si>
    <t>Úver na rekonštrukciu miestnej komunikácie popri pravoslávnej cerkvi, ostáva cca 18 000€</t>
  </si>
  <si>
    <t>Mobil a internet</t>
  </si>
  <si>
    <t>Príjem za to, že obec vykonáva časť kompetencií v mene štátu</t>
  </si>
  <si>
    <t>Prenájom pozemkov družstvu</t>
  </si>
  <si>
    <t>Výmera vychádza z údajov z katastra</t>
  </si>
  <si>
    <t>Hodnota pri pozemkoch zo zákona č. 582/2004</t>
  </si>
  <si>
    <t>DHZ členské</t>
  </si>
  <si>
    <t>Deň matiek (cca 85 osôb, darčeky) - 850€, Kultúrno-športový deň (ceny, občerstvenie, vystúpenie) - 2800€, Mikuláš (cca 30 detí) - 150€</t>
  </si>
  <si>
    <t>Návrh rozpočtu na roky 2025 - 2027</t>
  </si>
  <si>
    <t>Teraz schválené sadzby</t>
  </si>
  <si>
    <t xml:space="preserve">1. </t>
  </si>
  <si>
    <t>V časti Dane a poplatky si môžete nastaviť výšku sadzby za jednotlivé položky.</t>
  </si>
  <si>
    <t>Žltou farbou sú označené terajšie sadzby. Vy si môžete sadzby meniť v časti so svetlo-hnedou farbou.</t>
  </si>
  <si>
    <t>Tabuľka automaticky počíta príjem za jednotlivé položky. Výsledok ukazuje v tabuľke Dane a poplatky.</t>
  </si>
  <si>
    <t xml:space="preserve">Príjem z navrhovaných sadzieb automatický doplní do príjmov v rozpočte. </t>
  </si>
  <si>
    <t xml:space="preserve">2. </t>
  </si>
  <si>
    <t>Ak niektoré položky zmeníte, môžu sa niektoré automaticky zmeniť (najmä odvody)</t>
  </si>
  <si>
    <t>Niektoré položky v rozpočte sú dané a nedajú sa meniť. Ide najmä pravidelne opakujúce sa platby alebo povinné platby.</t>
  </si>
  <si>
    <t xml:space="preserve">Pri niektorých položkách je bližší popis, čo sa danou položkou myslí. </t>
  </si>
  <si>
    <t>Meniť môžete položky označené modrou farbou.</t>
  </si>
  <si>
    <t xml:space="preserve">3. </t>
  </si>
  <si>
    <t xml:space="preserve">Na konci je výsledok hospodárenia. </t>
  </si>
  <si>
    <t>Aj niektoré uzamknuté položky sa môžu meniť. Môžeme vynechať poistenie majetku, znížiť platby za energie alebo odpady. To však vedie k znižovaniu poskytovaných služieb pre obyvateľov obce</t>
  </si>
  <si>
    <t>Taktiež sa môžu zvýšiť aj iné príjmy. Podielové dane napr. závisia od počtu obyvateľov. Avšak ak narastie počet obyvateľov v danom roku, príjem sa prejaví až o 2 roky</t>
  </si>
  <si>
    <t xml:space="preserve">Plat starostu vo všeobecnosti môže byť mesačne v rozmedzí 0,01€ až cca 2650€. U nás je to 0,01 - 1485 €.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</si>
</sst>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B]General"/>
    <numFmt numFmtId="165" formatCode="#,##0.00&quot; &quot;[$€-41B]"/>
    <numFmt numFmtId="166" formatCode="#,##0.00&quot; €&quot;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i/>
      <sz val="15"/>
      <color indexed="8"/>
      <name val="Times New Roman"/>
      <family val="1"/>
      <charset val="238"/>
    </font>
    <font>
      <sz val="15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9"/>
        <bgColor indexed="9"/>
      </patternFill>
    </fill>
    <fill>
      <patternFill patternType="solid">
        <fgColor indexed="5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2">
    <xf numFmtId="0" fontId="0" fillId="0" borderId="0"/>
    <xf numFmtId="164" fontId="2" fillId="0" borderId="0" applyBorder="0" applyProtection="0"/>
  </cellStyleXfs>
  <cellXfs count="166">
    <xf numFmtId="0" fontId="0" fillId="0" borderId="0" xfId="0"/>
    <xf numFmtId="0" fontId="0" fillId="0" borderId="0" xfId="0" applyProtection="1">
      <protection locked="0"/>
    </xf>
    <xf numFmtId="0" fontId="1" fillId="0" borderId="14" xfId="0" applyFont="1" applyBorder="1" applyProtection="1"/>
    <xf numFmtId="0" fontId="1" fillId="0" borderId="15" xfId="0" applyFont="1" applyBorder="1" applyProtection="1"/>
    <xf numFmtId="0" fontId="1" fillId="0" borderId="16" xfId="0" applyFont="1" applyBorder="1" applyProtection="1"/>
    <xf numFmtId="0" fontId="0" fillId="4" borderId="21" xfId="0" applyFill="1" applyBorder="1" applyProtection="1"/>
    <xf numFmtId="0" fontId="0" fillId="0" borderId="22" xfId="0" applyBorder="1" applyProtection="1"/>
    <xf numFmtId="2" fontId="0" fillId="2" borderId="22" xfId="0" applyNumberFormat="1" applyFill="1" applyBorder="1" applyProtection="1"/>
    <xf numFmtId="2" fontId="0" fillId="0" borderId="22" xfId="0" applyNumberFormat="1" applyBorder="1" applyProtection="1"/>
    <xf numFmtId="0" fontId="0" fillId="4" borderId="5" xfId="0" applyFill="1" applyBorder="1" applyProtection="1"/>
    <xf numFmtId="0" fontId="0" fillId="0" borderId="6" xfId="0" applyBorder="1" applyProtection="1"/>
    <xf numFmtId="2" fontId="0" fillId="2" borderId="6" xfId="0" applyNumberFormat="1" applyFill="1" applyBorder="1" applyProtection="1"/>
    <xf numFmtId="2" fontId="0" fillId="0" borderId="6" xfId="0" applyNumberFormat="1" applyBorder="1" applyProtection="1"/>
    <xf numFmtId="0" fontId="0" fillId="6" borderId="5" xfId="0" applyFill="1" applyBorder="1" applyProtection="1"/>
    <xf numFmtId="0" fontId="0" fillId="5" borderId="5" xfId="0" applyFill="1" applyBorder="1" applyProtection="1"/>
    <xf numFmtId="0" fontId="0" fillId="9" borderId="5" xfId="0" applyFill="1" applyBorder="1" applyProtection="1"/>
    <xf numFmtId="0" fontId="0" fillId="10" borderId="25" xfId="0" applyFill="1" applyBorder="1" applyProtection="1"/>
    <xf numFmtId="0" fontId="0" fillId="0" borderId="26" xfId="0" applyBorder="1" applyProtection="1"/>
    <xf numFmtId="2" fontId="0" fillId="2" borderId="26" xfId="0" applyNumberFormat="1" applyFill="1" applyBorder="1" applyProtection="1"/>
    <xf numFmtId="2" fontId="0" fillId="0" borderId="26" xfId="0" applyNumberFormat="1" applyBorder="1" applyProtection="1"/>
    <xf numFmtId="2" fontId="0" fillId="8" borderId="22" xfId="0" applyNumberFormat="1" applyFill="1" applyBorder="1" applyProtection="1">
      <protection locked="0"/>
    </xf>
    <xf numFmtId="2" fontId="0" fillId="8" borderId="6" xfId="0" applyNumberFormat="1" applyFill="1" applyBorder="1" applyProtection="1">
      <protection locked="0"/>
    </xf>
    <xf numFmtId="2" fontId="0" fillId="8" borderId="26" xfId="0" applyNumberFormat="1" applyFill="1" applyBorder="1" applyProtection="1">
      <protection locked="0"/>
    </xf>
    <xf numFmtId="0" fontId="0" fillId="0" borderId="10" xfId="0" applyBorder="1" applyProtection="1"/>
    <xf numFmtId="0" fontId="0" fillId="0" borderId="11" xfId="0" applyBorder="1" applyProtection="1"/>
    <xf numFmtId="2" fontId="0" fillId="0" borderId="12" xfId="0" applyNumberFormat="1" applyBorder="1" applyProtection="1"/>
    <xf numFmtId="0" fontId="0" fillId="0" borderId="13" xfId="0" applyBorder="1" applyProtection="1"/>
    <xf numFmtId="0" fontId="0" fillId="0" borderId="0" xfId="0" applyProtection="1"/>
    <xf numFmtId="0" fontId="0" fillId="4" borderId="0" xfId="0" applyFill="1" applyProtection="1"/>
    <xf numFmtId="0" fontId="0" fillId="6" borderId="0" xfId="0" applyFill="1" applyProtection="1"/>
    <xf numFmtId="0" fontId="0" fillId="5" borderId="0" xfId="0" applyFill="1" applyBorder="1" applyProtection="1"/>
    <xf numFmtId="0" fontId="0" fillId="9" borderId="0" xfId="0" applyFill="1" applyBorder="1" applyProtection="1"/>
    <xf numFmtId="0" fontId="0" fillId="10" borderId="0" xfId="0" applyFill="1" applyBorder="1" applyProtection="1"/>
    <xf numFmtId="0" fontId="0" fillId="2" borderId="0" xfId="0" applyFill="1" applyBorder="1" applyProtection="1"/>
    <xf numFmtId="0" fontId="0" fillId="8" borderId="0" xfId="0" applyFill="1" applyProtection="1"/>
    <xf numFmtId="0" fontId="1" fillId="0" borderId="16" xfId="0" applyFont="1" applyFill="1" applyBorder="1" applyProtection="1"/>
    <xf numFmtId="0" fontId="1" fillId="0" borderId="17" xfId="0" applyFont="1" applyFill="1" applyBorder="1" applyProtection="1"/>
    <xf numFmtId="2" fontId="0" fillId="3" borderId="23" xfId="0" applyNumberFormat="1" applyFill="1" applyBorder="1" applyProtection="1"/>
    <xf numFmtId="2" fontId="0" fillId="3" borderId="24" xfId="0" applyNumberFormat="1" applyFill="1" applyBorder="1" applyProtection="1"/>
    <xf numFmtId="2" fontId="0" fillId="3" borderId="27" xfId="0" applyNumberFormat="1" applyFill="1" applyBorder="1" applyProtection="1"/>
    <xf numFmtId="0" fontId="1" fillId="0" borderId="14" xfId="0" applyFont="1" applyFill="1" applyBorder="1" applyProtection="1"/>
    <xf numFmtId="164" fontId="4" fillId="0" borderId="0" xfId="1" applyFont="1" applyFill="1" applyAlignment="1" applyProtection="1">
      <protection locked="0"/>
    </xf>
    <xf numFmtId="164" fontId="6" fillId="0" borderId="0" xfId="1" applyFont="1" applyFill="1" applyAlignment="1" applyProtection="1">
      <protection locked="0"/>
    </xf>
    <xf numFmtId="164" fontId="9" fillId="0" borderId="0" xfId="1" applyFont="1" applyFill="1" applyAlignment="1" applyProtection="1">
      <protection locked="0"/>
    </xf>
    <xf numFmtId="164" fontId="9" fillId="13" borderId="0" xfId="1" applyFont="1" applyFill="1" applyAlignment="1" applyProtection="1">
      <protection locked="0"/>
    </xf>
    <xf numFmtId="164" fontId="6" fillId="13" borderId="0" xfId="1" applyFont="1" applyFill="1" applyAlignment="1" applyProtection="1">
      <protection locked="0"/>
    </xf>
    <xf numFmtId="0" fontId="6" fillId="13" borderId="0" xfId="0" applyFont="1" applyFill="1" applyProtection="1">
      <protection locked="0"/>
    </xf>
    <xf numFmtId="166" fontId="9" fillId="10" borderId="22" xfId="1" applyNumberFormat="1" applyFont="1" applyFill="1" applyBorder="1" applyAlignment="1" applyProtection="1">
      <protection locked="0"/>
    </xf>
    <xf numFmtId="166" fontId="9" fillId="0" borderId="6" xfId="1" applyNumberFormat="1" applyFont="1" applyFill="1" applyBorder="1" applyAlignment="1" applyProtection="1">
      <protection locked="0"/>
    </xf>
    <xf numFmtId="166" fontId="11" fillId="0" borderId="6" xfId="1" applyNumberFormat="1" applyFont="1" applyFill="1" applyBorder="1" applyAlignment="1" applyProtection="1">
      <protection locked="0"/>
    </xf>
    <xf numFmtId="166" fontId="11" fillId="10" borderId="6" xfId="1" applyNumberFormat="1" applyFont="1" applyFill="1" applyBorder="1" applyAlignment="1" applyProtection="1">
      <protection locked="0"/>
    </xf>
    <xf numFmtId="166" fontId="9" fillId="0" borderId="24" xfId="1" applyNumberFormat="1" applyFont="1" applyFill="1" applyBorder="1" applyAlignment="1" applyProtection="1">
      <protection locked="0"/>
    </xf>
    <xf numFmtId="166" fontId="11" fillId="10" borderId="26" xfId="1" applyNumberFormat="1" applyFont="1" applyFill="1" applyBorder="1" applyAlignment="1" applyProtection="1">
      <protection locked="0"/>
    </xf>
    <xf numFmtId="164" fontId="13" fillId="0" borderId="0" xfId="1" applyFont="1" applyFill="1" applyAlignment="1" applyProtection="1">
      <protection locked="0"/>
    </xf>
    <xf numFmtId="164" fontId="6" fillId="0" borderId="0" xfId="1" applyFont="1" applyFill="1" applyAlignment="1" applyProtection="1">
      <alignment wrapText="1"/>
      <protection locked="0"/>
    </xf>
    <xf numFmtId="164" fontId="3" fillId="0" borderId="0" xfId="1" applyFont="1" applyFill="1" applyAlignment="1" applyProtection="1"/>
    <xf numFmtId="164" fontId="4" fillId="0" borderId="0" xfId="1" applyFont="1" applyFill="1" applyAlignment="1" applyProtection="1"/>
    <xf numFmtId="164" fontId="4" fillId="0" borderId="0" xfId="1" applyFont="1" applyFill="1" applyAlignment="1" applyProtection="1">
      <alignment wrapText="1"/>
    </xf>
    <xf numFmtId="164" fontId="8" fillId="11" borderId="32" xfId="1" applyFont="1" applyFill="1" applyBorder="1" applyAlignment="1" applyProtection="1">
      <alignment horizontal="center"/>
    </xf>
    <xf numFmtId="164" fontId="8" fillId="11" borderId="33" xfId="1" applyFont="1" applyFill="1" applyBorder="1" applyAlignment="1" applyProtection="1">
      <alignment horizontal="center"/>
    </xf>
    <xf numFmtId="164" fontId="8" fillId="12" borderId="7" xfId="1" applyFont="1" applyFill="1" applyBorder="1" applyAlignment="1" applyProtection="1"/>
    <xf numFmtId="164" fontId="9" fillId="12" borderId="8" xfId="1" applyFont="1" applyFill="1" applyBorder="1" applyAlignment="1" applyProtection="1"/>
    <xf numFmtId="164" fontId="9" fillId="13" borderId="4" xfId="1" applyFont="1" applyFill="1" applyBorder="1" applyAlignment="1" applyProtection="1">
      <alignment horizontal="center"/>
    </xf>
    <xf numFmtId="164" fontId="9" fillId="0" borderId="4" xfId="1" applyFont="1" applyFill="1" applyBorder="1" applyAlignment="1" applyProtection="1"/>
    <xf numFmtId="165" fontId="9" fillId="13" borderId="4" xfId="1" applyNumberFormat="1" applyFont="1" applyFill="1" applyBorder="1" applyAlignment="1" applyProtection="1">
      <alignment horizontal="right"/>
    </xf>
    <xf numFmtId="165" fontId="9" fillId="13" borderId="36" xfId="1" applyNumberFormat="1" applyFont="1" applyFill="1" applyBorder="1" applyAlignment="1" applyProtection="1">
      <alignment horizontal="right"/>
    </xf>
    <xf numFmtId="164" fontId="9" fillId="13" borderId="5" xfId="1" applyFont="1" applyFill="1" applyBorder="1" applyAlignment="1" applyProtection="1"/>
    <xf numFmtId="164" fontId="9" fillId="13" borderId="6" xfId="1" applyFont="1" applyFill="1" applyBorder="1" applyAlignment="1" applyProtection="1">
      <alignment horizontal="center"/>
    </xf>
    <xf numFmtId="164" fontId="9" fillId="13" borderId="6" xfId="1" applyFont="1" applyFill="1" applyBorder="1" applyAlignment="1" applyProtection="1"/>
    <xf numFmtId="165" fontId="9" fillId="13" borderId="6" xfId="1" applyNumberFormat="1" applyFont="1" applyFill="1" applyBorder="1" applyAlignment="1" applyProtection="1">
      <alignment horizontal="right"/>
    </xf>
    <xf numFmtId="166" fontId="8" fillId="14" borderId="6" xfId="1" applyNumberFormat="1" applyFont="1" applyFill="1" applyBorder="1" applyAlignment="1" applyProtection="1">
      <alignment horizontal="right"/>
    </xf>
    <xf numFmtId="166" fontId="8" fillId="14" borderId="24" xfId="1" applyNumberFormat="1" applyFont="1" applyFill="1" applyBorder="1" applyAlignment="1" applyProtection="1">
      <alignment horizontal="right"/>
    </xf>
    <xf numFmtId="164" fontId="9" fillId="0" borderId="5" xfId="1" applyFont="1" applyFill="1" applyBorder="1" applyAlignment="1" applyProtection="1"/>
    <xf numFmtId="164" fontId="9" fillId="0" borderId="6" xfId="1" applyFont="1" applyFill="1" applyBorder="1" applyAlignment="1" applyProtection="1">
      <alignment horizontal="center"/>
    </xf>
    <xf numFmtId="166" fontId="9" fillId="0" borderId="6" xfId="1" applyNumberFormat="1" applyFont="1" applyFill="1" applyBorder="1" applyAlignment="1" applyProtection="1">
      <alignment horizontal="right"/>
    </xf>
    <xf numFmtId="166" fontId="9" fillId="0" borderId="24" xfId="1" applyNumberFormat="1" applyFont="1" applyFill="1" applyBorder="1" applyAlignment="1" applyProtection="1">
      <alignment horizontal="right"/>
    </xf>
    <xf numFmtId="166" fontId="8" fillId="15" borderId="6" xfId="1" applyNumberFormat="1" applyFont="1" applyFill="1" applyBorder="1" applyAlignment="1" applyProtection="1">
      <alignment horizontal="right"/>
    </xf>
    <xf numFmtId="166" fontId="8" fillId="15" borderId="24" xfId="1" applyNumberFormat="1" applyFont="1" applyFill="1" applyBorder="1" applyAlignment="1" applyProtection="1">
      <alignment horizontal="right"/>
    </xf>
    <xf numFmtId="166" fontId="8" fillId="16" borderId="26" xfId="1" applyNumberFormat="1" applyFont="1" applyFill="1" applyBorder="1" applyAlignment="1" applyProtection="1">
      <alignment horizontal="right"/>
    </xf>
    <xf numFmtId="164" fontId="8" fillId="11" borderId="37" xfId="1" applyFont="1" applyFill="1" applyBorder="1" applyAlignment="1" applyProtection="1">
      <alignment horizontal="center"/>
    </xf>
    <xf numFmtId="164" fontId="8" fillId="11" borderId="38" xfId="1" applyFont="1" applyFill="1" applyBorder="1" applyAlignment="1" applyProtection="1">
      <alignment horizontal="center"/>
    </xf>
    <xf numFmtId="49" fontId="9" fillId="0" borderId="21" xfId="1" applyNumberFormat="1" applyFont="1" applyFill="1" applyBorder="1" applyAlignment="1" applyProtection="1">
      <alignment horizontal="center"/>
    </xf>
    <xf numFmtId="164" fontId="9" fillId="0" borderId="22" xfId="1" applyFont="1" applyFill="1" applyBorder="1" applyAlignment="1" applyProtection="1">
      <alignment horizontal="center"/>
    </xf>
    <xf numFmtId="164" fontId="9" fillId="13" borderId="22" xfId="1" applyFont="1" applyFill="1" applyBorder="1" applyAlignment="1" applyProtection="1">
      <alignment horizontal="center"/>
    </xf>
    <xf numFmtId="164" fontId="9" fillId="13" borderId="22" xfId="1" applyFont="1" applyFill="1" applyBorder="1" applyAlignment="1" applyProtection="1"/>
    <xf numFmtId="166" fontId="9" fillId="0" borderId="22" xfId="1" applyNumberFormat="1" applyFont="1" applyFill="1" applyBorder="1" applyAlignment="1" applyProtection="1"/>
    <xf numFmtId="49" fontId="9" fillId="0" borderId="5" xfId="1" applyNumberFormat="1" applyFont="1" applyFill="1" applyBorder="1" applyAlignment="1" applyProtection="1">
      <alignment horizontal="center"/>
    </xf>
    <xf numFmtId="166" fontId="9" fillId="0" borderId="6" xfId="1" applyNumberFormat="1" applyFont="1" applyFill="1" applyBorder="1" applyAlignment="1" applyProtection="1"/>
    <xf numFmtId="164" fontId="9" fillId="0" borderId="6" xfId="1" applyFont="1" applyFill="1" applyBorder="1" applyAlignment="1" applyProtection="1"/>
    <xf numFmtId="166" fontId="11" fillId="0" borderId="6" xfId="1" applyNumberFormat="1" applyFont="1" applyFill="1" applyBorder="1" applyAlignment="1" applyProtection="1"/>
    <xf numFmtId="49" fontId="9" fillId="0" borderId="25" xfId="1" applyNumberFormat="1" applyFont="1" applyFill="1" applyBorder="1" applyAlignment="1" applyProtection="1">
      <alignment horizontal="center"/>
    </xf>
    <xf numFmtId="164" fontId="9" fillId="0" borderId="26" xfId="1" applyFont="1" applyFill="1" applyBorder="1" applyAlignment="1" applyProtection="1">
      <alignment horizontal="center"/>
    </xf>
    <xf numFmtId="164" fontId="9" fillId="13" borderId="26" xfId="1" applyFont="1" applyFill="1" applyBorder="1" applyAlignment="1" applyProtection="1">
      <alignment horizontal="center"/>
    </xf>
    <xf numFmtId="164" fontId="9" fillId="13" borderId="26" xfId="1" applyFont="1" applyFill="1" applyBorder="1" applyAlignment="1" applyProtection="1"/>
    <xf numFmtId="166" fontId="11" fillId="0" borderId="26" xfId="1" applyNumberFormat="1" applyFont="1" applyFill="1" applyBorder="1" applyAlignment="1" applyProtection="1"/>
    <xf numFmtId="166" fontId="8" fillId="14" borderId="11" xfId="1" applyNumberFormat="1" applyFont="1" applyFill="1" applyBorder="1" applyAlignment="1" applyProtection="1">
      <alignment horizontal="right"/>
    </xf>
    <xf numFmtId="49" fontId="9" fillId="0" borderId="3" xfId="1" applyNumberFormat="1" applyFont="1" applyFill="1" applyBorder="1" applyAlignment="1" applyProtection="1">
      <alignment horizontal="center"/>
    </xf>
    <xf numFmtId="164" fontId="9" fillId="0" borderId="4" xfId="1" applyFont="1" applyFill="1" applyBorder="1" applyAlignment="1" applyProtection="1">
      <alignment horizontal="center"/>
    </xf>
    <xf numFmtId="166" fontId="9" fillId="0" borderId="4" xfId="1" applyNumberFormat="1" applyFont="1" applyFill="1" applyBorder="1" applyAlignment="1" applyProtection="1"/>
    <xf numFmtId="166" fontId="8" fillId="14" borderId="2" xfId="1" applyNumberFormat="1" applyFont="1" applyFill="1" applyBorder="1" applyAlignment="1" applyProtection="1">
      <alignment horizontal="right"/>
    </xf>
    <xf numFmtId="166" fontId="8" fillId="15" borderId="2" xfId="1" applyNumberFormat="1" applyFont="1" applyFill="1" applyBorder="1" applyAlignment="1" applyProtection="1">
      <alignment horizontal="right"/>
    </xf>
    <xf numFmtId="166" fontId="8" fillId="16" borderId="2" xfId="1" applyNumberFormat="1" applyFont="1" applyFill="1" applyBorder="1" applyAlignment="1" applyProtection="1">
      <alignment horizontal="right"/>
    </xf>
    <xf numFmtId="166" fontId="13" fillId="7" borderId="2" xfId="1" applyNumberFormat="1" applyFont="1" applyFill="1" applyBorder="1" applyAlignment="1" applyProtection="1">
      <alignment horizontal="right"/>
    </xf>
    <xf numFmtId="166" fontId="13" fillId="17" borderId="2" xfId="1" applyNumberFormat="1" applyFont="1" applyFill="1" applyBorder="1" applyAlignment="1" applyProtection="1">
      <alignment horizontal="right"/>
    </xf>
    <xf numFmtId="166" fontId="9" fillId="0" borderId="24" xfId="1" applyNumberFormat="1" applyFont="1" applyFill="1" applyBorder="1" applyAlignment="1" applyProtection="1"/>
    <xf numFmtId="166" fontId="8" fillId="14" borderId="39" xfId="1" applyNumberFormat="1" applyFont="1" applyFill="1" applyBorder="1" applyAlignment="1" applyProtection="1">
      <alignment horizontal="right"/>
    </xf>
    <xf numFmtId="166" fontId="9" fillId="0" borderId="36" xfId="1" applyNumberFormat="1" applyFont="1" applyFill="1" applyBorder="1" applyAlignment="1" applyProtection="1"/>
    <xf numFmtId="166" fontId="8" fillId="14" borderId="40" xfId="1" applyNumberFormat="1" applyFont="1" applyFill="1" applyBorder="1" applyAlignment="1" applyProtection="1">
      <alignment horizontal="right"/>
    </xf>
    <xf numFmtId="166" fontId="8" fillId="15" borderId="40" xfId="1" applyNumberFormat="1" applyFont="1" applyFill="1" applyBorder="1" applyAlignment="1" applyProtection="1">
      <alignment horizontal="right"/>
    </xf>
    <xf numFmtId="166" fontId="13" fillId="7" borderId="40" xfId="1" applyNumberFormat="1" applyFont="1" applyFill="1" applyBorder="1" applyAlignment="1" applyProtection="1">
      <alignment horizontal="right"/>
    </xf>
    <xf numFmtId="166" fontId="13" fillId="17" borderId="40" xfId="1" applyNumberFormat="1" applyFont="1" applyFill="1" applyBorder="1" applyAlignment="1" applyProtection="1">
      <alignment horizontal="right"/>
    </xf>
    <xf numFmtId="164" fontId="9" fillId="13" borderId="21" xfId="1" applyFont="1" applyFill="1" applyBorder="1" applyAlignment="1" applyProtection="1"/>
    <xf numFmtId="164" fontId="9" fillId="0" borderId="22" xfId="1" applyFont="1" applyFill="1" applyBorder="1" applyAlignment="1" applyProtection="1"/>
    <xf numFmtId="165" fontId="9" fillId="13" borderId="22" xfId="1" applyNumberFormat="1" applyFont="1" applyFill="1" applyBorder="1" applyAlignment="1" applyProtection="1">
      <alignment horizontal="right"/>
    </xf>
    <xf numFmtId="165" fontId="9" fillId="13" borderId="23" xfId="1" applyNumberFormat="1" applyFont="1" applyFill="1" applyBorder="1" applyAlignment="1" applyProtection="1">
      <alignment horizontal="right"/>
    </xf>
    <xf numFmtId="166" fontId="8" fillId="16" borderId="27" xfId="1" applyNumberFormat="1" applyFont="1" applyFill="1" applyBorder="1" applyAlignment="1" applyProtection="1">
      <alignment horizontal="right"/>
    </xf>
    <xf numFmtId="166" fontId="9" fillId="10" borderId="23" xfId="1" applyNumberFormat="1" applyFont="1" applyFill="1" applyBorder="1" applyAlignment="1" applyProtection="1">
      <protection locked="0"/>
    </xf>
    <xf numFmtId="166" fontId="11" fillId="10" borderId="24" xfId="1" applyNumberFormat="1" applyFont="1" applyFill="1" applyBorder="1" applyAlignment="1" applyProtection="1">
      <protection locked="0"/>
    </xf>
    <xf numFmtId="166" fontId="11" fillId="0" borderId="24" xfId="1" applyNumberFormat="1" applyFont="1" applyFill="1" applyBorder="1" applyAlignment="1" applyProtection="1">
      <protection locked="0"/>
    </xf>
    <xf numFmtId="166" fontId="11" fillId="0" borderId="24" xfId="1" applyNumberFormat="1" applyFont="1" applyFill="1" applyBorder="1" applyAlignment="1" applyProtection="1"/>
    <xf numFmtId="166" fontId="11" fillId="10" borderId="27" xfId="1" applyNumberFormat="1" applyFont="1" applyFill="1" applyBorder="1" applyAlignment="1" applyProtection="1">
      <protection locked="0"/>
    </xf>
    <xf numFmtId="164" fontId="9" fillId="0" borderId="26" xfId="1" applyFont="1" applyFill="1" applyBorder="1" applyAlignment="1" applyProtection="1"/>
    <xf numFmtId="166" fontId="9" fillId="0" borderId="26" xfId="1" applyNumberFormat="1" applyFont="1" applyFill="1" applyBorder="1" applyAlignment="1" applyProtection="1"/>
    <xf numFmtId="166" fontId="9" fillId="0" borderId="27" xfId="1" applyNumberFormat="1" applyFont="1" applyFill="1" applyBorder="1" applyAlignment="1" applyProtection="1"/>
    <xf numFmtId="2" fontId="0" fillId="0" borderId="6" xfId="0" applyNumberFormat="1" applyFill="1" applyBorder="1" applyProtection="1"/>
    <xf numFmtId="2" fontId="0" fillId="0" borderId="26" xfId="0" applyNumberFormat="1" applyFill="1" applyBorder="1" applyProtection="1"/>
    <xf numFmtId="0" fontId="0" fillId="0" borderId="18" xfId="0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164" fontId="12" fillId="7" borderId="1" xfId="1" applyFont="1" applyFill="1" applyBorder="1" applyAlignment="1" applyProtection="1">
      <alignment horizontal="left"/>
    </xf>
    <xf numFmtId="164" fontId="12" fillId="7" borderId="2" xfId="1" applyFont="1" applyFill="1" applyBorder="1" applyAlignment="1" applyProtection="1">
      <alignment horizontal="left"/>
    </xf>
    <xf numFmtId="164" fontId="12" fillId="17" borderId="1" xfId="1" applyFont="1" applyFill="1" applyBorder="1" applyAlignment="1" applyProtection="1">
      <alignment horizontal="left"/>
    </xf>
    <xf numFmtId="164" fontId="12" fillId="17" borderId="2" xfId="1" applyFont="1" applyFill="1" applyBorder="1" applyAlignment="1" applyProtection="1">
      <alignment horizontal="left"/>
    </xf>
    <xf numFmtId="164" fontId="13" fillId="0" borderId="0" xfId="1" applyFont="1" applyFill="1" applyAlignment="1" applyProtection="1">
      <protection locked="0"/>
    </xf>
    <xf numFmtId="164" fontId="8" fillId="11" borderId="31" xfId="1" applyFont="1" applyFill="1" applyBorder="1" applyAlignment="1" applyProtection="1">
      <alignment horizontal="center" vertical="center" wrapText="1"/>
    </xf>
    <xf numFmtId="164" fontId="8" fillId="11" borderId="35" xfId="1" applyFont="1" applyFill="1" applyBorder="1" applyAlignment="1" applyProtection="1">
      <alignment horizontal="center" vertical="center" wrapText="1"/>
    </xf>
    <xf numFmtId="164" fontId="8" fillId="12" borderId="7" xfId="1" applyFont="1" applyFill="1" applyBorder="1" applyAlignment="1" applyProtection="1">
      <alignment horizontal="left"/>
    </xf>
    <xf numFmtId="164" fontId="8" fillId="12" borderId="8" xfId="1" applyFont="1" applyFill="1" applyBorder="1" applyAlignment="1" applyProtection="1">
      <alignment horizontal="left"/>
    </xf>
    <xf numFmtId="164" fontId="8" fillId="12" borderId="9" xfId="1" applyFont="1" applyFill="1" applyBorder="1" applyAlignment="1" applyProtection="1">
      <alignment horizontal="left"/>
    </xf>
    <xf numFmtId="164" fontId="10" fillId="14" borderId="10" xfId="1" applyFont="1" applyFill="1" applyBorder="1" applyAlignment="1" applyProtection="1">
      <alignment horizontal="center"/>
    </xf>
    <xf numFmtId="164" fontId="10" fillId="14" borderId="11" xfId="1" applyFont="1" applyFill="1" applyBorder="1" applyAlignment="1" applyProtection="1">
      <alignment horizontal="center"/>
    </xf>
    <xf numFmtId="164" fontId="10" fillId="14" borderId="1" xfId="1" applyFont="1" applyFill="1" applyBorder="1" applyAlignment="1" applyProtection="1">
      <alignment horizontal="center"/>
    </xf>
    <xf numFmtId="164" fontId="10" fillId="14" borderId="2" xfId="1" applyFont="1" applyFill="1" applyBorder="1" applyAlignment="1" applyProtection="1">
      <alignment horizontal="center"/>
    </xf>
    <xf numFmtId="164" fontId="10" fillId="15" borderId="1" xfId="1" applyFont="1" applyFill="1" applyBorder="1" applyAlignment="1" applyProtection="1">
      <alignment horizontal="center"/>
    </xf>
    <xf numFmtId="164" fontId="10" fillId="15" borderId="2" xfId="1" applyFont="1" applyFill="1" applyBorder="1" applyAlignment="1" applyProtection="1">
      <alignment horizontal="center"/>
    </xf>
    <xf numFmtId="164" fontId="10" fillId="16" borderId="1" xfId="1" applyFont="1" applyFill="1" applyBorder="1" applyAlignment="1" applyProtection="1">
      <alignment horizontal="center"/>
    </xf>
    <xf numFmtId="164" fontId="10" fillId="16" borderId="2" xfId="1" applyFont="1" applyFill="1" applyBorder="1" applyAlignment="1" applyProtection="1">
      <alignment horizontal="center"/>
    </xf>
    <xf numFmtId="164" fontId="8" fillId="11" borderId="28" xfId="1" applyFont="1" applyFill="1" applyBorder="1" applyAlignment="1" applyProtection="1">
      <alignment horizontal="center" vertical="center"/>
    </xf>
    <xf numFmtId="164" fontId="8" fillId="11" borderId="29" xfId="1" applyFont="1" applyFill="1" applyBorder="1" applyAlignment="1" applyProtection="1">
      <alignment horizontal="center" vertical="center"/>
    </xf>
    <xf numFmtId="164" fontId="8" fillId="11" borderId="38" xfId="1" applyFont="1" applyFill="1" applyBorder="1" applyAlignment="1" applyProtection="1">
      <alignment horizontal="center" vertical="center"/>
    </xf>
    <xf numFmtId="164" fontId="8" fillId="11" borderId="30" xfId="1" applyFont="1" applyFill="1" applyBorder="1" applyAlignment="1" applyProtection="1">
      <alignment horizontal="center" vertical="center" wrapText="1"/>
    </xf>
    <xf numFmtId="164" fontId="8" fillId="11" borderId="34" xfId="1" applyFont="1" applyFill="1" applyBorder="1" applyAlignment="1" applyProtection="1">
      <alignment horizontal="center" vertical="center" wrapText="1"/>
    </xf>
    <xf numFmtId="164" fontId="8" fillId="11" borderId="41" xfId="1" applyFont="1" applyFill="1" applyBorder="1" applyAlignment="1" applyProtection="1">
      <alignment horizontal="center" vertical="center" wrapText="1"/>
    </xf>
    <xf numFmtId="164" fontId="8" fillId="11" borderId="42" xfId="1" applyFont="1" applyFill="1" applyBorder="1" applyAlignment="1" applyProtection="1">
      <alignment horizontal="center" vertical="center" wrapText="1"/>
    </xf>
    <xf numFmtId="164" fontId="5" fillId="0" borderId="0" xfId="1" applyFont="1" applyFill="1" applyAlignment="1" applyProtection="1">
      <alignment horizontal="center"/>
    </xf>
    <xf numFmtId="164" fontId="7" fillId="0" borderId="0" xfId="1" applyFont="1" applyFill="1" applyBorder="1" applyAlignment="1" applyProtection="1">
      <alignment horizontal="center" vertical="center" wrapText="1"/>
    </xf>
    <xf numFmtId="164" fontId="8" fillId="11" borderId="33" xfId="1" applyFont="1" applyFill="1" applyBorder="1" applyAlignment="1" applyProtection="1">
      <alignment horizontal="center" vertical="center"/>
    </xf>
    <xf numFmtId="164" fontId="9" fillId="12" borderId="8" xfId="1" applyFont="1" applyFill="1" applyBorder="1" applyAlignment="1" applyProtection="1">
      <alignment horizontal="center"/>
    </xf>
    <xf numFmtId="164" fontId="9" fillId="12" borderId="9" xfId="1" applyFont="1" applyFill="1" applyBorder="1" applyAlignment="1" applyProtection="1">
      <alignment horizontal="center"/>
    </xf>
    <xf numFmtId="164" fontId="10" fillId="14" borderId="5" xfId="1" applyFont="1" applyFill="1" applyBorder="1" applyAlignment="1" applyProtection="1">
      <alignment horizontal="center"/>
    </xf>
    <xf numFmtId="164" fontId="10" fillId="14" borderId="6" xfId="1" applyFont="1" applyFill="1" applyBorder="1" applyAlignment="1" applyProtection="1">
      <alignment horizontal="center"/>
    </xf>
    <xf numFmtId="164" fontId="10" fillId="15" borderId="5" xfId="1" applyFont="1" applyFill="1" applyBorder="1" applyAlignment="1" applyProtection="1">
      <alignment horizontal="center"/>
    </xf>
    <xf numFmtId="164" fontId="10" fillId="15" borderId="6" xfId="1" applyFont="1" applyFill="1" applyBorder="1" applyAlignment="1" applyProtection="1">
      <alignment horizontal="center"/>
    </xf>
    <xf numFmtId="164" fontId="10" fillId="16" borderId="25" xfId="1" applyFont="1" applyFill="1" applyBorder="1" applyAlignment="1" applyProtection="1">
      <alignment horizontal="center"/>
    </xf>
    <xf numFmtId="164" fontId="10" fillId="16" borderId="26" xfId="1" applyFont="1" applyFill="1" applyBorder="1" applyAlignment="1" applyProtection="1">
      <alignment horizontal="center"/>
    </xf>
    <xf numFmtId="0" fontId="0" fillId="0" borderId="0" xfId="0" applyAlignment="1">
      <alignment horizontal="left" wrapText="1"/>
    </xf>
  </cellXfs>
  <cellStyles count="2">
    <cellStyle name="Excel Built-in Normal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topLeftCell="A6" workbookViewId="0">
      <selection activeCell="A31" sqref="A31"/>
    </sheetView>
  </sheetViews>
  <sheetFormatPr defaultColWidth="9.109375" defaultRowHeight="14.4" x14ac:dyDescent="0.3"/>
  <cols>
    <col min="1" max="1" width="17" style="1" bestFit="1" customWidth="1"/>
    <col min="2" max="2" width="8" style="1" customWidth="1"/>
    <col min="3" max="3" width="8.5546875" style="1" customWidth="1"/>
    <col min="4" max="4" width="7.109375" style="1" customWidth="1"/>
    <col min="5" max="5" width="8.5546875" style="1" customWidth="1"/>
    <col min="6" max="6" width="12" style="1" bestFit="1" customWidth="1"/>
    <col min="7" max="7" width="11" style="1" bestFit="1" customWidth="1"/>
    <col min="8" max="8" width="8.33203125" style="1" hidden="1" customWidth="1"/>
    <col min="9" max="16384" width="9.109375" style="1"/>
  </cols>
  <sheetData>
    <row r="1" spans="1:8" ht="15" thickBot="1" x14ac:dyDescent="0.35">
      <c r="A1" s="2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0" t="s">
        <v>5</v>
      </c>
      <c r="G1" s="35" t="s">
        <v>6</v>
      </c>
      <c r="H1" s="36" t="s">
        <v>7</v>
      </c>
    </row>
    <row r="2" spans="1:8" x14ac:dyDescent="0.3">
      <c r="A2" s="5" t="s">
        <v>8</v>
      </c>
      <c r="B2" s="6">
        <v>1060174</v>
      </c>
      <c r="C2" s="6">
        <v>0.26750000000000002</v>
      </c>
      <c r="D2" s="7">
        <v>0.8</v>
      </c>
      <c r="E2" s="8">
        <f>B2*C2/100*D2</f>
        <v>2268.7723600000004</v>
      </c>
      <c r="F2" s="20"/>
      <c r="G2" s="8">
        <f>B2*C2*F2/100</f>
        <v>0</v>
      </c>
      <c r="H2" s="37">
        <f>G2-E2</f>
        <v>-2268.7723600000004</v>
      </c>
    </row>
    <row r="3" spans="1:8" x14ac:dyDescent="0.3">
      <c r="A3" s="9" t="s">
        <v>9</v>
      </c>
      <c r="B3" s="10">
        <v>1134587</v>
      </c>
      <c r="C3" s="10">
        <v>5.3699999999999998E-2</v>
      </c>
      <c r="D3" s="11">
        <v>0.8</v>
      </c>
      <c r="E3" s="12">
        <f t="shared" ref="E3:E9" si="0">B3*C3/100*D3</f>
        <v>487.41857519999996</v>
      </c>
      <c r="F3" s="21"/>
      <c r="G3" s="12">
        <f t="shared" ref="G3:G9" si="1">B3*C3*F3/100</f>
        <v>0</v>
      </c>
      <c r="H3" s="38">
        <f t="shared" ref="H3:H19" si="2">G3-E3</f>
        <v>-487.41857519999996</v>
      </c>
    </row>
    <row r="4" spans="1:8" x14ac:dyDescent="0.3">
      <c r="A4" s="9" t="s">
        <v>10</v>
      </c>
      <c r="B4" s="10">
        <f>64152+3335</f>
        <v>67487</v>
      </c>
      <c r="C4" s="10">
        <v>1.32</v>
      </c>
      <c r="D4" s="11">
        <v>0.8</v>
      </c>
      <c r="E4" s="12">
        <f t="shared" si="0"/>
        <v>712.66272000000015</v>
      </c>
      <c r="F4" s="21"/>
      <c r="G4" s="12">
        <f t="shared" si="1"/>
        <v>0</v>
      </c>
      <c r="H4" s="38">
        <f t="shared" si="2"/>
        <v>-712.66272000000015</v>
      </c>
    </row>
    <row r="5" spans="1:8" x14ac:dyDescent="0.3">
      <c r="A5" s="9" t="s">
        <v>11</v>
      </c>
      <c r="B5" s="10">
        <f>87475+662</f>
        <v>88137</v>
      </c>
      <c r="C5" s="10">
        <v>1.32</v>
      </c>
      <c r="D5" s="11">
        <v>0.8</v>
      </c>
      <c r="E5" s="12">
        <f t="shared" si="0"/>
        <v>930.72672000000011</v>
      </c>
      <c r="F5" s="21"/>
      <c r="G5" s="12">
        <f t="shared" si="1"/>
        <v>0</v>
      </c>
      <c r="H5" s="38">
        <f t="shared" si="2"/>
        <v>-930.72672000000011</v>
      </c>
    </row>
    <row r="6" spans="1:8" x14ac:dyDescent="0.3">
      <c r="A6" s="9" t="s">
        <v>12</v>
      </c>
      <c r="B6" s="10">
        <v>1348</v>
      </c>
      <c r="C6" s="10">
        <v>1.32</v>
      </c>
      <c r="D6" s="11">
        <v>1</v>
      </c>
      <c r="E6" s="12">
        <f t="shared" si="0"/>
        <v>17.793600000000001</v>
      </c>
      <c r="F6" s="21"/>
      <c r="G6" s="12">
        <f t="shared" si="1"/>
        <v>0</v>
      </c>
      <c r="H6" s="38">
        <f t="shared" si="2"/>
        <v>-17.793600000000001</v>
      </c>
    </row>
    <row r="7" spans="1:8" x14ac:dyDescent="0.3">
      <c r="A7" s="9" t="s">
        <v>13</v>
      </c>
      <c r="B7" s="10">
        <v>499</v>
      </c>
      <c r="C7" s="10">
        <v>1.4E-2</v>
      </c>
      <c r="D7" s="11">
        <v>2.5</v>
      </c>
      <c r="E7" s="12">
        <f t="shared" si="0"/>
        <v>0.17464999999999997</v>
      </c>
      <c r="F7" s="21"/>
      <c r="G7" s="12">
        <f t="shared" si="1"/>
        <v>0</v>
      </c>
      <c r="H7" s="38">
        <f t="shared" si="2"/>
        <v>-0.17464999999999997</v>
      </c>
    </row>
    <row r="8" spans="1:8" x14ac:dyDescent="0.3">
      <c r="A8" s="9" t="s">
        <v>14</v>
      </c>
      <c r="B8" s="10">
        <v>2066382</v>
      </c>
      <c r="C8" s="10">
        <v>1.4E-2</v>
      </c>
      <c r="D8" s="11">
        <v>2.5</v>
      </c>
      <c r="E8" s="12">
        <f t="shared" si="0"/>
        <v>723.23370000000011</v>
      </c>
      <c r="F8" s="21"/>
      <c r="G8" s="12">
        <f t="shared" si="1"/>
        <v>0</v>
      </c>
      <c r="H8" s="38">
        <f t="shared" si="2"/>
        <v>-723.23370000000011</v>
      </c>
    </row>
    <row r="9" spans="1:8" x14ac:dyDescent="0.3">
      <c r="A9" s="9" t="s">
        <v>15</v>
      </c>
      <c r="B9" s="10">
        <v>2440</v>
      </c>
      <c r="C9" s="10">
        <v>13.27</v>
      </c>
      <c r="D9" s="11">
        <v>1</v>
      </c>
      <c r="E9" s="12">
        <f t="shared" si="0"/>
        <v>323.78800000000001</v>
      </c>
      <c r="F9" s="21"/>
      <c r="G9" s="12">
        <f t="shared" si="1"/>
        <v>0</v>
      </c>
      <c r="H9" s="38">
        <f t="shared" si="2"/>
        <v>-323.78800000000001</v>
      </c>
    </row>
    <row r="10" spans="1:8" x14ac:dyDescent="0.3">
      <c r="A10" s="13" t="s">
        <v>16</v>
      </c>
      <c r="B10" s="10">
        <v>8059</v>
      </c>
      <c r="C10" s="11">
        <v>0.1</v>
      </c>
      <c r="D10" s="10"/>
      <c r="E10" s="12">
        <f>B10*C10</f>
        <v>805.90000000000009</v>
      </c>
      <c r="F10" s="21"/>
      <c r="G10" s="12">
        <f>B10*F10</f>
        <v>0</v>
      </c>
      <c r="H10" s="38">
        <f t="shared" si="2"/>
        <v>-805.90000000000009</v>
      </c>
    </row>
    <row r="11" spans="1:8" x14ac:dyDescent="0.3">
      <c r="A11" s="13" t="s">
        <v>17</v>
      </c>
      <c r="B11" s="10">
        <v>11634</v>
      </c>
      <c r="C11" s="11">
        <v>0.1</v>
      </c>
      <c r="D11" s="10"/>
      <c r="E11" s="12">
        <f t="shared" ref="E11:E17" si="3">B11*C11</f>
        <v>1163.4000000000001</v>
      </c>
      <c r="F11" s="21"/>
      <c r="G11" s="12">
        <f t="shared" ref="G11:G17" si="4">B11*F11</f>
        <v>0</v>
      </c>
      <c r="H11" s="38">
        <f t="shared" si="2"/>
        <v>-1163.4000000000001</v>
      </c>
    </row>
    <row r="12" spans="1:8" x14ac:dyDescent="0.3">
      <c r="A12" s="13" t="s">
        <v>18</v>
      </c>
      <c r="B12" s="10">
        <v>35</v>
      </c>
      <c r="C12" s="11">
        <v>0.15</v>
      </c>
      <c r="D12" s="10"/>
      <c r="E12" s="12">
        <f t="shared" si="3"/>
        <v>5.25</v>
      </c>
      <c r="F12" s="21"/>
      <c r="G12" s="12">
        <f t="shared" si="4"/>
        <v>0</v>
      </c>
      <c r="H12" s="38">
        <f t="shared" si="2"/>
        <v>-5.25</v>
      </c>
    </row>
    <row r="13" spans="1:8" x14ac:dyDescent="0.3">
      <c r="A13" s="13" t="s">
        <v>19</v>
      </c>
      <c r="B13" s="10">
        <v>413</v>
      </c>
      <c r="C13" s="11">
        <v>0.15</v>
      </c>
      <c r="D13" s="10"/>
      <c r="E13" s="12">
        <f t="shared" si="3"/>
        <v>61.949999999999996</v>
      </c>
      <c r="F13" s="21"/>
      <c r="G13" s="12">
        <f t="shared" si="4"/>
        <v>0</v>
      </c>
      <c r="H13" s="38">
        <f t="shared" si="2"/>
        <v>-61.949999999999996</v>
      </c>
    </row>
    <row r="14" spans="1:8" x14ac:dyDescent="0.3">
      <c r="A14" s="13" t="s">
        <v>20</v>
      </c>
      <c r="B14" s="10">
        <v>637</v>
      </c>
      <c r="C14" s="11">
        <v>0.15</v>
      </c>
      <c r="D14" s="10"/>
      <c r="E14" s="12">
        <f t="shared" si="3"/>
        <v>95.55</v>
      </c>
      <c r="F14" s="21"/>
      <c r="G14" s="12">
        <f t="shared" si="4"/>
        <v>0</v>
      </c>
      <c r="H14" s="38">
        <f t="shared" si="2"/>
        <v>-95.55</v>
      </c>
    </row>
    <row r="15" spans="1:8" x14ac:dyDescent="0.3">
      <c r="A15" s="13" t="s">
        <v>12</v>
      </c>
      <c r="B15" s="10">
        <v>1758</v>
      </c>
      <c r="C15" s="11">
        <v>0.15</v>
      </c>
      <c r="D15" s="10"/>
      <c r="E15" s="12">
        <f t="shared" si="3"/>
        <v>263.7</v>
      </c>
      <c r="F15" s="21"/>
      <c r="G15" s="12">
        <f t="shared" si="4"/>
        <v>0</v>
      </c>
      <c r="H15" s="38">
        <f t="shared" si="2"/>
        <v>-263.7</v>
      </c>
    </row>
    <row r="16" spans="1:8" x14ac:dyDescent="0.3">
      <c r="A16" s="14" t="s">
        <v>21</v>
      </c>
      <c r="B16" s="10">
        <v>289</v>
      </c>
      <c r="C16" s="11">
        <v>0.1</v>
      </c>
      <c r="D16" s="10"/>
      <c r="E16" s="12">
        <f t="shared" si="3"/>
        <v>28.900000000000002</v>
      </c>
      <c r="F16" s="21"/>
      <c r="G16" s="12">
        <f t="shared" si="4"/>
        <v>0</v>
      </c>
      <c r="H16" s="38">
        <f t="shared" si="2"/>
        <v>-28.900000000000002</v>
      </c>
    </row>
    <row r="17" spans="1:8" x14ac:dyDescent="0.3">
      <c r="A17" s="14" t="s">
        <v>22</v>
      </c>
      <c r="B17" s="10">
        <v>132</v>
      </c>
      <c r="C17" s="11">
        <v>0.1</v>
      </c>
      <c r="D17" s="10"/>
      <c r="E17" s="12">
        <f t="shared" si="3"/>
        <v>13.200000000000001</v>
      </c>
      <c r="F17" s="21"/>
      <c r="G17" s="12">
        <f t="shared" si="4"/>
        <v>0</v>
      </c>
      <c r="H17" s="38">
        <f t="shared" si="2"/>
        <v>-13.200000000000001</v>
      </c>
    </row>
    <row r="18" spans="1:8" x14ac:dyDescent="0.3">
      <c r="A18" s="15" t="s">
        <v>27</v>
      </c>
      <c r="B18" s="10"/>
      <c r="C18" s="124"/>
      <c r="D18" s="11">
        <v>7.5</v>
      </c>
      <c r="E18" s="12">
        <f>D18*24</f>
        <v>180</v>
      </c>
      <c r="F18" s="21"/>
      <c r="G18" s="12">
        <f>F18*24</f>
        <v>0</v>
      </c>
      <c r="H18" s="38">
        <f t="shared" si="2"/>
        <v>-180</v>
      </c>
    </row>
    <row r="19" spans="1:8" ht="15" thickBot="1" x14ac:dyDescent="0.35">
      <c r="A19" s="16" t="s">
        <v>28</v>
      </c>
      <c r="B19" s="17"/>
      <c r="C19" s="125"/>
      <c r="D19" s="18">
        <v>25</v>
      </c>
      <c r="E19" s="19">
        <f>D19*165</f>
        <v>4125</v>
      </c>
      <c r="F19" s="22"/>
      <c r="G19" s="19">
        <f>F19*165</f>
        <v>0</v>
      </c>
      <c r="H19" s="39">
        <f t="shared" si="2"/>
        <v>-4125</v>
      </c>
    </row>
    <row r="20" spans="1:8" ht="15" thickBot="1" x14ac:dyDescent="0.35">
      <c r="A20" s="126"/>
      <c r="B20" s="127"/>
      <c r="C20" s="127"/>
      <c r="D20" s="127"/>
      <c r="E20" s="127"/>
      <c r="F20" s="127"/>
      <c r="G20" s="127"/>
      <c r="H20" s="128"/>
    </row>
    <row r="21" spans="1:8" ht="15" thickBot="1" x14ac:dyDescent="0.35">
      <c r="A21" s="23" t="s">
        <v>23</v>
      </c>
      <c r="B21" s="24"/>
      <c r="C21" s="24"/>
      <c r="D21" s="24"/>
      <c r="E21" s="25">
        <f>SUM(E2:E19)</f>
        <v>12207.420325199999</v>
      </c>
      <c r="F21" s="23"/>
      <c r="G21" s="25">
        <f>SUM(G2:G19)</f>
        <v>0</v>
      </c>
      <c r="H21" s="26">
        <f>SUM(H2:H19)</f>
        <v>-12207.420325199999</v>
      </c>
    </row>
    <row r="22" spans="1:8" x14ac:dyDescent="0.3">
      <c r="A22" s="27"/>
      <c r="B22" s="27"/>
      <c r="C22" s="27"/>
      <c r="D22" s="27"/>
      <c r="E22" s="27"/>
      <c r="F22" s="27"/>
      <c r="G22" s="27"/>
      <c r="H22" s="27"/>
    </row>
    <row r="23" spans="1:8" x14ac:dyDescent="0.3">
      <c r="A23" s="28"/>
      <c r="B23" s="27" t="s">
        <v>24</v>
      </c>
      <c r="C23" s="27"/>
      <c r="D23" s="27"/>
      <c r="E23" s="27"/>
      <c r="F23" s="27"/>
      <c r="G23" s="27"/>
      <c r="H23" s="27"/>
    </row>
    <row r="24" spans="1:8" x14ac:dyDescent="0.3">
      <c r="A24" s="29"/>
      <c r="B24" s="27" t="s">
        <v>25</v>
      </c>
      <c r="C24" s="27"/>
      <c r="D24" s="27"/>
      <c r="E24" s="27"/>
      <c r="F24" s="27"/>
      <c r="G24" s="27"/>
      <c r="H24" s="27"/>
    </row>
    <row r="25" spans="1:8" x14ac:dyDescent="0.3">
      <c r="A25" s="30"/>
      <c r="B25" s="27" t="s">
        <v>21</v>
      </c>
      <c r="C25" s="27"/>
      <c r="D25" s="27"/>
      <c r="E25" s="27"/>
      <c r="F25" s="27"/>
      <c r="G25" s="27"/>
      <c r="H25" s="27"/>
    </row>
    <row r="26" spans="1:8" x14ac:dyDescent="0.3">
      <c r="A26" s="31"/>
      <c r="B26" s="27" t="s">
        <v>27</v>
      </c>
      <c r="C26" s="27"/>
      <c r="D26" s="27"/>
      <c r="E26" s="27"/>
      <c r="F26" s="27"/>
      <c r="G26" s="27"/>
      <c r="H26" s="27"/>
    </row>
    <row r="27" spans="1:8" x14ac:dyDescent="0.3">
      <c r="A27" s="32"/>
      <c r="B27" s="27" t="s">
        <v>28</v>
      </c>
      <c r="C27" s="27"/>
      <c r="D27" s="27"/>
      <c r="E27" s="27"/>
      <c r="F27" s="27"/>
      <c r="G27" s="27"/>
      <c r="H27" s="27"/>
    </row>
    <row r="28" spans="1:8" x14ac:dyDescent="0.3">
      <c r="A28" s="33"/>
      <c r="B28" s="27" t="s">
        <v>123</v>
      </c>
      <c r="C28" s="27"/>
      <c r="D28" s="27"/>
      <c r="E28" s="27"/>
      <c r="F28" s="27"/>
      <c r="G28" s="27"/>
      <c r="H28" s="27"/>
    </row>
    <row r="29" spans="1:8" x14ac:dyDescent="0.3">
      <c r="A29" s="34"/>
      <c r="B29" s="27" t="s">
        <v>26</v>
      </c>
      <c r="C29" s="27"/>
      <c r="D29" s="27"/>
      <c r="E29" s="27"/>
      <c r="F29" s="27"/>
      <c r="G29" s="27"/>
      <c r="H29" s="27"/>
    </row>
    <row r="31" spans="1:8" x14ac:dyDescent="0.3">
      <c r="A31" s="1" t="s">
        <v>118</v>
      </c>
    </row>
    <row r="32" spans="1:8" x14ac:dyDescent="0.3">
      <c r="A32" s="1" t="s">
        <v>119</v>
      </c>
    </row>
  </sheetData>
  <sheetProtection algorithmName="SHA-512" hashValue="t7Fl41EnpAcAiHBykU2VX/RdHwj63FErxLx6Iu1SnqWc83rH2IB0F47pQC+R4tJMmBLV8urqI6TDQjn5yvqBDw==" saltValue="b8szxKmPzpjEcz0AEHKnVQ==" spinCount="100000" sheet="1" objects="1" scenarios="1" selectLockedCells="1"/>
  <mergeCells count="1">
    <mergeCell ref="A20:H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U69"/>
  <sheetViews>
    <sheetView topLeftCell="A33" zoomScale="80" zoomScaleNormal="80" workbookViewId="0">
      <selection activeCell="D69" sqref="D69:G69"/>
    </sheetView>
  </sheetViews>
  <sheetFormatPr defaultColWidth="10.6640625" defaultRowHeight="13.8" x14ac:dyDescent="0.25"/>
  <cols>
    <col min="1" max="1" width="9.33203125" style="42" bestFit="1" customWidth="1"/>
    <col min="2" max="2" width="12.6640625" style="42" customWidth="1"/>
    <col min="3" max="3" width="11.33203125" style="42" bestFit="1" customWidth="1"/>
    <col min="4" max="4" width="42.44140625" style="42" bestFit="1" customWidth="1"/>
    <col min="5" max="5" width="17.109375" style="54" hidden="1" customWidth="1"/>
    <col min="6" max="6" width="14.5546875" style="42" hidden="1" customWidth="1"/>
    <col min="7" max="8" width="11.88671875" style="42" customWidth="1"/>
    <col min="9" max="9" width="11.88671875" style="42" bestFit="1" customWidth="1"/>
    <col min="10" max="256" width="10.6640625" style="42"/>
    <col min="257" max="257" width="10.6640625" style="42" customWidth="1"/>
    <col min="258" max="258" width="10.5546875" style="42" customWidth="1"/>
    <col min="259" max="259" width="9.33203125" style="42" customWidth="1"/>
    <col min="260" max="260" width="37.88671875" style="42" customWidth="1"/>
    <col min="261" max="265" width="11.88671875" style="42" customWidth="1"/>
    <col min="266" max="512" width="10.6640625" style="42"/>
    <col min="513" max="513" width="10.6640625" style="42" customWidth="1"/>
    <col min="514" max="514" width="10.5546875" style="42" customWidth="1"/>
    <col min="515" max="515" width="9.33203125" style="42" customWidth="1"/>
    <col min="516" max="516" width="37.88671875" style="42" customWidth="1"/>
    <col min="517" max="521" width="11.88671875" style="42" customWidth="1"/>
    <col min="522" max="768" width="10.6640625" style="42"/>
    <col min="769" max="769" width="10.6640625" style="42" customWidth="1"/>
    <col min="770" max="770" width="10.5546875" style="42" customWidth="1"/>
    <col min="771" max="771" width="9.33203125" style="42" customWidth="1"/>
    <col min="772" max="772" width="37.88671875" style="42" customWidth="1"/>
    <col min="773" max="777" width="11.88671875" style="42" customWidth="1"/>
    <col min="778" max="1024" width="10.6640625" style="42"/>
    <col min="1025" max="1025" width="10.6640625" style="42" customWidth="1"/>
    <col min="1026" max="1026" width="10.5546875" style="42" customWidth="1"/>
    <col min="1027" max="1027" width="9.33203125" style="42" customWidth="1"/>
    <col min="1028" max="1028" width="37.88671875" style="42" customWidth="1"/>
    <col min="1029" max="1033" width="11.88671875" style="42" customWidth="1"/>
    <col min="1034" max="1280" width="10.6640625" style="42"/>
    <col min="1281" max="1281" width="10.6640625" style="42" customWidth="1"/>
    <col min="1282" max="1282" width="10.5546875" style="42" customWidth="1"/>
    <col min="1283" max="1283" width="9.33203125" style="42" customWidth="1"/>
    <col min="1284" max="1284" width="37.88671875" style="42" customWidth="1"/>
    <col min="1285" max="1289" width="11.88671875" style="42" customWidth="1"/>
    <col min="1290" max="1536" width="10.6640625" style="42"/>
    <col min="1537" max="1537" width="10.6640625" style="42" customWidth="1"/>
    <col min="1538" max="1538" width="10.5546875" style="42" customWidth="1"/>
    <col min="1539" max="1539" width="9.33203125" style="42" customWidth="1"/>
    <col min="1540" max="1540" width="37.88671875" style="42" customWidth="1"/>
    <col min="1541" max="1545" width="11.88671875" style="42" customWidth="1"/>
    <col min="1546" max="1792" width="10.6640625" style="42"/>
    <col min="1793" max="1793" width="10.6640625" style="42" customWidth="1"/>
    <col min="1794" max="1794" width="10.5546875" style="42" customWidth="1"/>
    <col min="1795" max="1795" width="9.33203125" style="42" customWidth="1"/>
    <col min="1796" max="1796" width="37.88671875" style="42" customWidth="1"/>
    <col min="1797" max="1801" width="11.88671875" style="42" customWidth="1"/>
    <col min="1802" max="2048" width="10.6640625" style="42"/>
    <col min="2049" max="2049" width="10.6640625" style="42" customWidth="1"/>
    <col min="2050" max="2050" width="10.5546875" style="42" customWidth="1"/>
    <col min="2051" max="2051" width="9.33203125" style="42" customWidth="1"/>
    <col min="2052" max="2052" width="37.88671875" style="42" customWidth="1"/>
    <col min="2053" max="2057" width="11.88671875" style="42" customWidth="1"/>
    <col min="2058" max="2304" width="10.6640625" style="42"/>
    <col min="2305" max="2305" width="10.6640625" style="42" customWidth="1"/>
    <col min="2306" max="2306" width="10.5546875" style="42" customWidth="1"/>
    <col min="2307" max="2307" width="9.33203125" style="42" customWidth="1"/>
    <col min="2308" max="2308" width="37.88671875" style="42" customWidth="1"/>
    <col min="2309" max="2313" width="11.88671875" style="42" customWidth="1"/>
    <col min="2314" max="2560" width="10.6640625" style="42"/>
    <col min="2561" max="2561" width="10.6640625" style="42" customWidth="1"/>
    <col min="2562" max="2562" width="10.5546875" style="42" customWidth="1"/>
    <col min="2563" max="2563" width="9.33203125" style="42" customWidth="1"/>
    <col min="2564" max="2564" width="37.88671875" style="42" customWidth="1"/>
    <col min="2565" max="2569" width="11.88671875" style="42" customWidth="1"/>
    <col min="2570" max="2816" width="10.6640625" style="42"/>
    <col min="2817" max="2817" width="10.6640625" style="42" customWidth="1"/>
    <col min="2818" max="2818" width="10.5546875" style="42" customWidth="1"/>
    <col min="2819" max="2819" width="9.33203125" style="42" customWidth="1"/>
    <col min="2820" max="2820" width="37.88671875" style="42" customWidth="1"/>
    <col min="2821" max="2825" width="11.88671875" style="42" customWidth="1"/>
    <col min="2826" max="3072" width="10.6640625" style="42"/>
    <col min="3073" max="3073" width="10.6640625" style="42" customWidth="1"/>
    <col min="3074" max="3074" width="10.5546875" style="42" customWidth="1"/>
    <col min="3075" max="3075" width="9.33203125" style="42" customWidth="1"/>
    <col min="3076" max="3076" width="37.88671875" style="42" customWidth="1"/>
    <col min="3077" max="3081" width="11.88671875" style="42" customWidth="1"/>
    <col min="3082" max="3328" width="10.6640625" style="42"/>
    <col min="3329" max="3329" width="10.6640625" style="42" customWidth="1"/>
    <col min="3330" max="3330" width="10.5546875" style="42" customWidth="1"/>
    <col min="3331" max="3331" width="9.33203125" style="42" customWidth="1"/>
    <col min="3332" max="3332" width="37.88671875" style="42" customWidth="1"/>
    <col min="3333" max="3337" width="11.88671875" style="42" customWidth="1"/>
    <col min="3338" max="3584" width="10.6640625" style="42"/>
    <col min="3585" max="3585" width="10.6640625" style="42" customWidth="1"/>
    <col min="3586" max="3586" width="10.5546875" style="42" customWidth="1"/>
    <col min="3587" max="3587" width="9.33203125" style="42" customWidth="1"/>
    <col min="3588" max="3588" width="37.88671875" style="42" customWidth="1"/>
    <col min="3589" max="3593" width="11.88671875" style="42" customWidth="1"/>
    <col min="3594" max="3840" width="10.6640625" style="42"/>
    <col min="3841" max="3841" width="10.6640625" style="42" customWidth="1"/>
    <col min="3842" max="3842" width="10.5546875" style="42" customWidth="1"/>
    <col min="3843" max="3843" width="9.33203125" style="42" customWidth="1"/>
    <col min="3844" max="3844" width="37.88671875" style="42" customWidth="1"/>
    <col min="3845" max="3849" width="11.88671875" style="42" customWidth="1"/>
    <col min="3850" max="4096" width="10.6640625" style="42"/>
    <col min="4097" max="4097" width="10.6640625" style="42" customWidth="1"/>
    <col min="4098" max="4098" width="10.5546875" style="42" customWidth="1"/>
    <col min="4099" max="4099" width="9.33203125" style="42" customWidth="1"/>
    <col min="4100" max="4100" width="37.88671875" style="42" customWidth="1"/>
    <col min="4101" max="4105" width="11.88671875" style="42" customWidth="1"/>
    <col min="4106" max="4352" width="10.6640625" style="42"/>
    <col min="4353" max="4353" width="10.6640625" style="42" customWidth="1"/>
    <col min="4354" max="4354" width="10.5546875" style="42" customWidth="1"/>
    <col min="4355" max="4355" width="9.33203125" style="42" customWidth="1"/>
    <col min="4356" max="4356" width="37.88671875" style="42" customWidth="1"/>
    <col min="4357" max="4361" width="11.88671875" style="42" customWidth="1"/>
    <col min="4362" max="4608" width="10.6640625" style="42"/>
    <col min="4609" max="4609" width="10.6640625" style="42" customWidth="1"/>
    <col min="4610" max="4610" width="10.5546875" style="42" customWidth="1"/>
    <col min="4611" max="4611" width="9.33203125" style="42" customWidth="1"/>
    <col min="4612" max="4612" width="37.88671875" style="42" customWidth="1"/>
    <col min="4613" max="4617" width="11.88671875" style="42" customWidth="1"/>
    <col min="4618" max="4864" width="10.6640625" style="42"/>
    <col min="4865" max="4865" width="10.6640625" style="42" customWidth="1"/>
    <col min="4866" max="4866" width="10.5546875" style="42" customWidth="1"/>
    <col min="4867" max="4867" width="9.33203125" style="42" customWidth="1"/>
    <col min="4868" max="4868" width="37.88671875" style="42" customWidth="1"/>
    <col min="4869" max="4873" width="11.88671875" style="42" customWidth="1"/>
    <col min="4874" max="5120" width="10.6640625" style="42"/>
    <col min="5121" max="5121" width="10.6640625" style="42" customWidth="1"/>
    <col min="5122" max="5122" width="10.5546875" style="42" customWidth="1"/>
    <col min="5123" max="5123" width="9.33203125" style="42" customWidth="1"/>
    <col min="5124" max="5124" width="37.88671875" style="42" customWidth="1"/>
    <col min="5125" max="5129" width="11.88671875" style="42" customWidth="1"/>
    <col min="5130" max="5376" width="10.6640625" style="42"/>
    <col min="5377" max="5377" width="10.6640625" style="42" customWidth="1"/>
    <col min="5378" max="5378" width="10.5546875" style="42" customWidth="1"/>
    <col min="5379" max="5379" width="9.33203125" style="42" customWidth="1"/>
    <col min="5380" max="5380" width="37.88671875" style="42" customWidth="1"/>
    <col min="5381" max="5385" width="11.88671875" style="42" customWidth="1"/>
    <col min="5386" max="5632" width="10.6640625" style="42"/>
    <col min="5633" max="5633" width="10.6640625" style="42" customWidth="1"/>
    <col min="5634" max="5634" width="10.5546875" style="42" customWidth="1"/>
    <col min="5635" max="5635" width="9.33203125" style="42" customWidth="1"/>
    <col min="5636" max="5636" width="37.88671875" style="42" customWidth="1"/>
    <col min="5637" max="5641" width="11.88671875" style="42" customWidth="1"/>
    <col min="5642" max="5888" width="10.6640625" style="42"/>
    <col min="5889" max="5889" width="10.6640625" style="42" customWidth="1"/>
    <col min="5890" max="5890" width="10.5546875" style="42" customWidth="1"/>
    <col min="5891" max="5891" width="9.33203125" style="42" customWidth="1"/>
    <col min="5892" max="5892" width="37.88671875" style="42" customWidth="1"/>
    <col min="5893" max="5897" width="11.88671875" style="42" customWidth="1"/>
    <col min="5898" max="6144" width="10.6640625" style="42"/>
    <col min="6145" max="6145" width="10.6640625" style="42" customWidth="1"/>
    <col min="6146" max="6146" width="10.5546875" style="42" customWidth="1"/>
    <col min="6147" max="6147" width="9.33203125" style="42" customWidth="1"/>
    <col min="6148" max="6148" width="37.88671875" style="42" customWidth="1"/>
    <col min="6149" max="6153" width="11.88671875" style="42" customWidth="1"/>
    <col min="6154" max="6400" width="10.6640625" style="42"/>
    <col min="6401" max="6401" width="10.6640625" style="42" customWidth="1"/>
    <col min="6402" max="6402" width="10.5546875" style="42" customWidth="1"/>
    <col min="6403" max="6403" width="9.33203125" style="42" customWidth="1"/>
    <col min="6404" max="6404" width="37.88671875" style="42" customWidth="1"/>
    <col min="6405" max="6409" width="11.88671875" style="42" customWidth="1"/>
    <col min="6410" max="6656" width="10.6640625" style="42"/>
    <col min="6657" max="6657" width="10.6640625" style="42" customWidth="1"/>
    <col min="6658" max="6658" width="10.5546875" style="42" customWidth="1"/>
    <col min="6659" max="6659" width="9.33203125" style="42" customWidth="1"/>
    <col min="6660" max="6660" width="37.88671875" style="42" customWidth="1"/>
    <col min="6661" max="6665" width="11.88671875" style="42" customWidth="1"/>
    <col min="6666" max="6912" width="10.6640625" style="42"/>
    <col min="6913" max="6913" width="10.6640625" style="42" customWidth="1"/>
    <col min="6914" max="6914" width="10.5546875" style="42" customWidth="1"/>
    <col min="6915" max="6915" width="9.33203125" style="42" customWidth="1"/>
    <col min="6916" max="6916" width="37.88671875" style="42" customWidth="1"/>
    <col min="6917" max="6921" width="11.88671875" style="42" customWidth="1"/>
    <col min="6922" max="7168" width="10.6640625" style="42"/>
    <col min="7169" max="7169" width="10.6640625" style="42" customWidth="1"/>
    <col min="7170" max="7170" width="10.5546875" style="42" customWidth="1"/>
    <col min="7171" max="7171" width="9.33203125" style="42" customWidth="1"/>
    <col min="7172" max="7172" width="37.88671875" style="42" customWidth="1"/>
    <col min="7173" max="7177" width="11.88671875" style="42" customWidth="1"/>
    <col min="7178" max="7424" width="10.6640625" style="42"/>
    <col min="7425" max="7425" width="10.6640625" style="42" customWidth="1"/>
    <col min="7426" max="7426" width="10.5546875" style="42" customWidth="1"/>
    <col min="7427" max="7427" width="9.33203125" style="42" customWidth="1"/>
    <col min="7428" max="7428" width="37.88671875" style="42" customWidth="1"/>
    <col min="7429" max="7433" width="11.88671875" style="42" customWidth="1"/>
    <col min="7434" max="7680" width="10.6640625" style="42"/>
    <col min="7681" max="7681" width="10.6640625" style="42" customWidth="1"/>
    <col min="7682" max="7682" width="10.5546875" style="42" customWidth="1"/>
    <col min="7683" max="7683" width="9.33203125" style="42" customWidth="1"/>
    <col min="7684" max="7684" width="37.88671875" style="42" customWidth="1"/>
    <col min="7685" max="7689" width="11.88671875" style="42" customWidth="1"/>
    <col min="7690" max="7936" width="10.6640625" style="42"/>
    <col min="7937" max="7937" width="10.6640625" style="42" customWidth="1"/>
    <col min="7938" max="7938" width="10.5546875" style="42" customWidth="1"/>
    <col min="7939" max="7939" width="9.33203125" style="42" customWidth="1"/>
    <col min="7940" max="7940" width="37.88671875" style="42" customWidth="1"/>
    <col min="7941" max="7945" width="11.88671875" style="42" customWidth="1"/>
    <col min="7946" max="8192" width="10.6640625" style="42"/>
    <col min="8193" max="8193" width="10.6640625" style="42" customWidth="1"/>
    <col min="8194" max="8194" width="10.5546875" style="42" customWidth="1"/>
    <col min="8195" max="8195" width="9.33203125" style="42" customWidth="1"/>
    <col min="8196" max="8196" width="37.88671875" style="42" customWidth="1"/>
    <col min="8197" max="8201" width="11.88671875" style="42" customWidth="1"/>
    <col min="8202" max="8448" width="10.6640625" style="42"/>
    <col min="8449" max="8449" width="10.6640625" style="42" customWidth="1"/>
    <col min="8450" max="8450" width="10.5546875" style="42" customWidth="1"/>
    <col min="8451" max="8451" width="9.33203125" style="42" customWidth="1"/>
    <col min="8452" max="8452" width="37.88671875" style="42" customWidth="1"/>
    <col min="8453" max="8457" width="11.88671875" style="42" customWidth="1"/>
    <col min="8458" max="8704" width="10.6640625" style="42"/>
    <col min="8705" max="8705" width="10.6640625" style="42" customWidth="1"/>
    <col min="8706" max="8706" width="10.5546875" style="42" customWidth="1"/>
    <col min="8707" max="8707" width="9.33203125" style="42" customWidth="1"/>
    <col min="8708" max="8708" width="37.88671875" style="42" customWidth="1"/>
    <col min="8709" max="8713" width="11.88671875" style="42" customWidth="1"/>
    <col min="8714" max="8960" width="10.6640625" style="42"/>
    <col min="8961" max="8961" width="10.6640625" style="42" customWidth="1"/>
    <col min="8962" max="8962" width="10.5546875" style="42" customWidth="1"/>
    <col min="8963" max="8963" width="9.33203125" style="42" customWidth="1"/>
    <col min="8964" max="8964" width="37.88671875" style="42" customWidth="1"/>
    <col min="8965" max="8969" width="11.88671875" style="42" customWidth="1"/>
    <col min="8970" max="9216" width="10.6640625" style="42"/>
    <col min="9217" max="9217" width="10.6640625" style="42" customWidth="1"/>
    <col min="9218" max="9218" width="10.5546875" style="42" customWidth="1"/>
    <col min="9219" max="9219" width="9.33203125" style="42" customWidth="1"/>
    <col min="9220" max="9220" width="37.88671875" style="42" customWidth="1"/>
    <col min="9221" max="9225" width="11.88671875" style="42" customWidth="1"/>
    <col min="9226" max="9472" width="10.6640625" style="42"/>
    <col min="9473" max="9473" width="10.6640625" style="42" customWidth="1"/>
    <col min="9474" max="9474" width="10.5546875" style="42" customWidth="1"/>
    <col min="9475" max="9475" width="9.33203125" style="42" customWidth="1"/>
    <col min="9476" max="9476" width="37.88671875" style="42" customWidth="1"/>
    <col min="9477" max="9481" width="11.88671875" style="42" customWidth="1"/>
    <col min="9482" max="9728" width="10.6640625" style="42"/>
    <col min="9729" max="9729" width="10.6640625" style="42" customWidth="1"/>
    <col min="9730" max="9730" width="10.5546875" style="42" customWidth="1"/>
    <col min="9731" max="9731" width="9.33203125" style="42" customWidth="1"/>
    <col min="9732" max="9732" width="37.88671875" style="42" customWidth="1"/>
    <col min="9733" max="9737" width="11.88671875" style="42" customWidth="1"/>
    <col min="9738" max="9984" width="10.6640625" style="42"/>
    <col min="9985" max="9985" width="10.6640625" style="42" customWidth="1"/>
    <col min="9986" max="9986" width="10.5546875" style="42" customWidth="1"/>
    <col min="9987" max="9987" width="9.33203125" style="42" customWidth="1"/>
    <col min="9988" max="9988" width="37.88671875" style="42" customWidth="1"/>
    <col min="9989" max="9993" width="11.88671875" style="42" customWidth="1"/>
    <col min="9994" max="10240" width="10.6640625" style="42"/>
    <col min="10241" max="10241" width="10.6640625" style="42" customWidth="1"/>
    <col min="10242" max="10242" width="10.5546875" style="42" customWidth="1"/>
    <col min="10243" max="10243" width="9.33203125" style="42" customWidth="1"/>
    <col min="10244" max="10244" width="37.88671875" style="42" customWidth="1"/>
    <col min="10245" max="10249" width="11.88671875" style="42" customWidth="1"/>
    <col min="10250" max="10496" width="10.6640625" style="42"/>
    <col min="10497" max="10497" width="10.6640625" style="42" customWidth="1"/>
    <col min="10498" max="10498" width="10.5546875" style="42" customWidth="1"/>
    <col min="10499" max="10499" width="9.33203125" style="42" customWidth="1"/>
    <col min="10500" max="10500" width="37.88671875" style="42" customWidth="1"/>
    <col min="10501" max="10505" width="11.88671875" style="42" customWidth="1"/>
    <col min="10506" max="10752" width="10.6640625" style="42"/>
    <col min="10753" max="10753" width="10.6640625" style="42" customWidth="1"/>
    <col min="10754" max="10754" width="10.5546875" style="42" customWidth="1"/>
    <col min="10755" max="10755" width="9.33203125" style="42" customWidth="1"/>
    <col min="10756" max="10756" width="37.88671875" style="42" customWidth="1"/>
    <col min="10757" max="10761" width="11.88671875" style="42" customWidth="1"/>
    <col min="10762" max="11008" width="10.6640625" style="42"/>
    <col min="11009" max="11009" width="10.6640625" style="42" customWidth="1"/>
    <col min="11010" max="11010" width="10.5546875" style="42" customWidth="1"/>
    <col min="11011" max="11011" width="9.33203125" style="42" customWidth="1"/>
    <col min="11012" max="11012" width="37.88671875" style="42" customWidth="1"/>
    <col min="11013" max="11017" width="11.88671875" style="42" customWidth="1"/>
    <col min="11018" max="11264" width="10.6640625" style="42"/>
    <col min="11265" max="11265" width="10.6640625" style="42" customWidth="1"/>
    <col min="11266" max="11266" width="10.5546875" style="42" customWidth="1"/>
    <col min="11267" max="11267" width="9.33203125" style="42" customWidth="1"/>
    <col min="11268" max="11268" width="37.88671875" style="42" customWidth="1"/>
    <col min="11269" max="11273" width="11.88671875" style="42" customWidth="1"/>
    <col min="11274" max="11520" width="10.6640625" style="42"/>
    <col min="11521" max="11521" width="10.6640625" style="42" customWidth="1"/>
    <col min="11522" max="11522" width="10.5546875" style="42" customWidth="1"/>
    <col min="11523" max="11523" width="9.33203125" style="42" customWidth="1"/>
    <col min="11524" max="11524" width="37.88671875" style="42" customWidth="1"/>
    <col min="11525" max="11529" width="11.88671875" style="42" customWidth="1"/>
    <col min="11530" max="11776" width="10.6640625" style="42"/>
    <col min="11777" max="11777" width="10.6640625" style="42" customWidth="1"/>
    <col min="11778" max="11778" width="10.5546875" style="42" customWidth="1"/>
    <col min="11779" max="11779" width="9.33203125" style="42" customWidth="1"/>
    <col min="11780" max="11780" width="37.88671875" style="42" customWidth="1"/>
    <col min="11781" max="11785" width="11.88671875" style="42" customWidth="1"/>
    <col min="11786" max="12032" width="10.6640625" style="42"/>
    <col min="12033" max="12033" width="10.6640625" style="42" customWidth="1"/>
    <col min="12034" max="12034" width="10.5546875" style="42" customWidth="1"/>
    <col min="12035" max="12035" width="9.33203125" style="42" customWidth="1"/>
    <col min="12036" max="12036" width="37.88671875" style="42" customWidth="1"/>
    <col min="12037" max="12041" width="11.88671875" style="42" customWidth="1"/>
    <col min="12042" max="12288" width="10.6640625" style="42"/>
    <col min="12289" max="12289" width="10.6640625" style="42" customWidth="1"/>
    <col min="12290" max="12290" width="10.5546875" style="42" customWidth="1"/>
    <col min="12291" max="12291" width="9.33203125" style="42" customWidth="1"/>
    <col min="12292" max="12292" width="37.88671875" style="42" customWidth="1"/>
    <col min="12293" max="12297" width="11.88671875" style="42" customWidth="1"/>
    <col min="12298" max="12544" width="10.6640625" style="42"/>
    <col min="12545" max="12545" width="10.6640625" style="42" customWidth="1"/>
    <col min="12546" max="12546" width="10.5546875" style="42" customWidth="1"/>
    <col min="12547" max="12547" width="9.33203125" style="42" customWidth="1"/>
    <col min="12548" max="12548" width="37.88671875" style="42" customWidth="1"/>
    <col min="12549" max="12553" width="11.88671875" style="42" customWidth="1"/>
    <col min="12554" max="12800" width="10.6640625" style="42"/>
    <col min="12801" max="12801" width="10.6640625" style="42" customWidth="1"/>
    <col min="12802" max="12802" width="10.5546875" style="42" customWidth="1"/>
    <col min="12803" max="12803" width="9.33203125" style="42" customWidth="1"/>
    <col min="12804" max="12804" width="37.88671875" style="42" customWidth="1"/>
    <col min="12805" max="12809" width="11.88671875" style="42" customWidth="1"/>
    <col min="12810" max="13056" width="10.6640625" style="42"/>
    <col min="13057" max="13057" width="10.6640625" style="42" customWidth="1"/>
    <col min="13058" max="13058" width="10.5546875" style="42" customWidth="1"/>
    <col min="13059" max="13059" width="9.33203125" style="42" customWidth="1"/>
    <col min="13060" max="13060" width="37.88671875" style="42" customWidth="1"/>
    <col min="13061" max="13065" width="11.88671875" style="42" customWidth="1"/>
    <col min="13066" max="13312" width="10.6640625" style="42"/>
    <col min="13313" max="13313" width="10.6640625" style="42" customWidth="1"/>
    <col min="13314" max="13314" width="10.5546875" style="42" customWidth="1"/>
    <col min="13315" max="13315" width="9.33203125" style="42" customWidth="1"/>
    <col min="13316" max="13316" width="37.88671875" style="42" customWidth="1"/>
    <col min="13317" max="13321" width="11.88671875" style="42" customWidth="1"/>
    <col min="13322" max="13568" width="10.6640625" style="42"/>
    <col min="13569" max="13569" width="10.6640625" style="42" customWidth="1"/>
    <col min="13570" max="13570" width="10.5546875" style="42" customWidth="1"/>
    <col min="13571" max="13571" width="9.33203125" style="42" customWidth="1"/>
    <col min="13572" max="13572" width="37.88671875" style="42" customWidth="1"/>
    <col min="13573" max="13577" width="11.88671875" style="42" customWidth="1"/>
    <col min="13578" max="13824" width="10.6640625" style="42"/>
    <col min="13825" max="13825" width="10.6640625" style="42" customWidth="1"/>
    <col min="13826" max="13826" width="10.5546875" style="42" customWidth="1"/>
    <col min="13827" max="13827" width="9.33203125" style="42" customWidth="1"/>
    <col min="13828" max="13828" width="37.88671875" style="42" customWidth="1"/>
    <col min="13829" max="13833" width="11.88671875" style="42" customWidth="1"/>
    <col min="13834" max="14080" width="10.6640625" style="42"/>
    <col min="14081" max="14081" width="10.6640625" style="42" customWidth="1"/>
    <col min="14082" max="14082" width="10.5546875" style="42" customWidth="1"/>
    <col min="14083" max="14083" width="9.33203125" style="42" customWidth="1"/>
    <col min="14084" max="14084" width="37.88671875" style="42" customWidth="1"/>
    <col min="14085" max="14089" width="11.88671875" style="42" customWidth="1"/>
    <col min="14090" max="14336" width="10.6640625" style="42"/>
    <col min="14337" max="14337" width="10.6640625" style="42" customWidth="1"/>
    <col min="14338" max="14338" width="10.5546875" style="42" customWidth="1"/>
    <col min="14339" max="14339" width="9.33203125" style="42" customWidth="1"/>
    <col min="14340" max="14340" width="37.88671875" style="42" customWidth="1"/>
    <col min="14341" max="14345" width="11.88671875" style="42" customWidth="1"/>
    <col min="14346" max="14592" width="10.6640625" style="42"/>
    <col min="14593" max="14593" width="10.6640625" style="42" customWidth="1"/>
    <col min="14594" max="14594" width="10.5546875" style="42" customWidth="1"/>
    <col min="14595" max="14595" width="9.33203125" style="42" customWidth="1"/>
    <col min="14596" max="14596" width="37.88671875" style="42" customWidth="1"/>
    <col min="14597" max="14601" width="11.88671875" style="42" customWidth="1"/>
    <col min="14602" max="14848" width="10.6640625" style="42"/>
    <col min="14849" max="14849" width="10.6640625" style="42" customWidth="1"/>
    <col min="14850" max="14850" width="10.5546875" style="42" customWidth="1"/>
    <col min="14851" max="14851" width="9.33203125" style="42" customWidth="1"/>
    <col min="14852" max="14852" width="37.88671875" style="42" customWidth="1"/>
    <col min="14853" max="14857" width="11.88671875" style="42" customWidth="1"/>
    <col min="14858" max="15104" width="10.6640625" style="42"/>
    <col min="15105" max="15105" width="10.6640625" style="42" customWidth="1"/>
    <col min="15106" max="15106" width="10.5546875" style="42" customWidth="1"/>
    <col min="15107" max="15107" width="9.33203125" style="42" customWidth="1"/>
    <col min="15108" max="15108" width="37.88671875" style="42" customWidth="1"/>
    <col min="15109" max="15113" width="11.88671875" style="42" customWidth="1"/>
    <col min="15114" max="15360" width="10.6640625" style="42"/>
    <col min="15361" max="15361" width="10.6640625" style="42" customWidth="1"/>
    <col min="15362" max="15362" width="10.5546875" style="42" customWidth="1"/>
    <col min="15363" max="15363" width="9.33203125" style="42" customWidth="1"/>
    <col min="15364" max="15364" width="37.88671875" style="42" customWidth="1"/>
    <col min="15365" max="15369" width="11.88671875" style="42" customWidth="1"/>
    <col min="15370" max="15616" width="10.6640625" style="42"/>
    <col min="15617" max="15617" width="10.6640625" style="42" customWidth="1"/>
    <col min="15618" max="15618" width="10.5546875" style="42" customWidth="1"/>
    <col min="15619" max="15619" width="9.33203125" style="42" customWidth="1"/>
    <col min="15620" max="15620" width="37.88671875" style="42" customWidth="1"/>
    <col min="15621" max="15625" width="11.88671875" style="42" customWidth="1"/>
    <col min="15626" max="15872" width="10.6640625" style="42"/>
    <col min="15873" max="15873" width="10.6640625" style="42" customWidth="1"/>
    <col min="15874" max="15874" width="10.5546875" style="42" customWidth="1"/>
    <col min="15875" max="15875" width="9.33203125" style="42" customWidth="1"/>
    <col min="15876" max="15876" width="37.88671875" style="42" customWidth="1"/>
    <col min="15877" max="15881" width="11.88671875" style="42" customWidth="1"/>
    <col min="15882" max="16128" width="10.6640625" style="42"/>
    <col min="16129" max="16129" width="10.6640625" style="42" customWidth="1"/>
    <col min="16130" max="16130" width="10.5546875" style="42" customWidth="1"/>
    <col min="16131" max="16131" width="9.33203125" style="42" customWidth="1"/>
    <col min="16132" max="16132" width="37.88671875" style="42" customWidth="1"/>
    <col min="16133" max="16137" width="11.88671875" style="42" customWidth="1"/>
    <col min="16138" max="16384" width="10.6640625" style="42"/>
  </cols>
  <sheetData>
    <row r="1" spans="1:255" s="41" customFormat="1" ht="19.2" x14ac:dyDescent="0.35">
      <c r="A1" s="55" t="s">
        <v>29</v>
      </c>
      <c r="B1" s="55" t="s">
        <v>30</v>
      </c>
      <c r="C1" s="56"/>
      <c r="D1" s="56"/>
      <c r="E1" s="57"/>
      <c r="F1" s="56"/>
      <c r="G1" s="56"/>
      <c r="H1" s="56"/>
      <c r="I1" s="56"/>
    </row>
    <row r="2" spans="1:255" ht="15.6" x14ac:dyDescent="0.3">
      <c r="A2" s="154" t="s">
        <v>122</v>
      </c>
      <c r="B2" s="154"/>
      <c r="C2" s="154"/>
      <c r="D2" s="154"/>
      <c r="E2" s="154"/>
      <c r="F2" s="154"/>
      <c r="G2" s="154"/>
      <c r="H2" s="154"/>
      <c r="I2" s="154"/>
    </row>
    <row r="3" spans="1:255" ht="16.8" thickBot="1" x14ac:dyDescent="0.3">
      <c r="A3" s="155"/>
      <c r="B3" s="155"/>
      <c r="C3" s="155"/>
      <c r="D3" s="155"/>
      <c r="E3" s="155"/>
      <c r="F3" s="155"/>
      <c r="G3" s="155"/>
      <c r="H3" s="155"/>
      <c r="I3" s="155"/>
    </row>
    <row r="4" spans="1:255" ht="15" customHeight="1" x14ac:dyDescent="0.25">
      <c r="A4" s="147" t="s">
        <v>31</v>
      </c>
      <c r="B4" s="148"/>
      <c r="C4" s="148" t="s">
        <v>32</v>
      </c>
      <c r="D4" s="148" t="s">
        <v>33</v>
      </c>
      <c r="E4" s="152" t="s">
        <v>103</v>
      </c>
      <c r="F4" s="152" t="s">
        <v>102</v>
      </c>
      <c r="G4" s="150">
        <v>2025</v>
      </c>
      <c r="H4" s="150">
        <v>2026</v>
      </c>
      <c r="I4" s="134">
        <v>2027</v>
      </c>
      <c r="J4" s="43"/>
    </row>
    <row r="5" spans="1:255" ht="14.4" thickBot="1" x14ac:dyDescent="0.3">
      <c r="A5" s="58" t="s">
        <v>34</v>
      </c>
      <c r="B5" s="59" t="s">
        <v>35</v>
      </c>
      <c r="C5" s="156"/>
      <c r="D5" s="156"/>
      <c r="E5" s="153"/>
      <c r="F5" s="153"/>
      <c r="G5" s="151"/>
      <c r="H5" s="151"/>
      <c r="I5" s="135"/>
      <c r="J5" s="43"/>
    </row>
    <row r="6" spans="1:255" ht="14.4" thickBot="1" x14ac:dyDescent="0.3">
      <c r="A6" s="60" t="s">
        <v>36</v>
      </c>
      <c r="B6" s="61"/>
      <c r="C6" s="61"/>
      <c r="D6" s="157"/>
      <c r="E6" s="157"/>
      <c r="F6" s="157"/>
      <c r="G6" s="157"/>
      <c r="H6" s="157"/>
      <c r="I6" s="158"/>
      <c r="J6" s="43"/>
    </row>
    <row r="7" spans="1:255" s="46" customFormat="1" x14ac:dyDescent="0.25">
      <c r="A7" s="111"/>
      <c r="B7" s="83">
        <v>111003</v>
      </c>
      <c r="C7" s="83">
        <v>41</v>
      </c>
      <c r="D7" s="112" t="s">
        <v>37</v>
      </c>
      <c r="E7" s="113">
        <v>36825</v>
      </c>
      <c r="F7" s="113">
        <f>37090-265-200-13-160-300</f>
        <v>36152</v>
      </c>
      <c r="G7" s="113">
        <f>935+34290</f>
        <v>35225</v>
      </c>
      <c r="H7" s="113">
        <f>935+35290</f>
        <v>36225</v>
      </c>
      <c r="I7" s="114">
        <f>36290-500+935</f>
        <v>36725</v>
      </c>
      <c r="J7" s="44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</row>
    <row r="8" spans="1:255" x14ac:dyDescent="0.25">
      <c r="A8" s="66"/>
      <c r="B8" s="67">
        <v>121001</v>
      </c>
      <c r="C8" s="67">
        <v>41</v>
      </c>
      <c r="D8" s="68" t="s">
        <v>38</v>
      </c>
      <c r="E8" s="69">
        <v>5110</v>
      </c>
      <c r="F8" s="69">
        <v>5100</v>
      </c>
      <c r="G8" s="69">
        <f>ROUNDDOWN(SUM('Dane a poplatky'!G2:G9),0)</f>
        <v>0</v>
      </c>
      <c r="H8" s="64">
        <f>G8</f>
        <v>0</v>
      </c>
      <c r="I8" s="65">
        <f>H8</f>
        <v>0</v>
      </c>
      <c r="J8" s="43"/>
    </row>
    <row r="9" spans="1:255" x14ac:dyDescent="0.25">
      <c r="A9" s="66"/>
      <c r="B9" s="67">
        <v>121002</v>
      </c>
      <c r="C9" s="67">
        <v>41</v>
      </c>
      <c r="D9" s="68" t="s">
        <v>39</v>
      </c>
      <c r="E9" s="69">
        <v>1679</v>
      </c>
      <c r="F9" s="69">
        <v>1600</v>
      </c>
      <c r="G9" s="69">
        <f>ROUNDDOWN(SUM('Dane a poplatky'!G10:G15)+SUM('Dane a poplatky'!G16:G17),0)</f>
        <v>0</v>
      </c>
      <c r="H9" s="64">
        <f t="shared" ref="H9:I11" si="0">G9</f>
        <v>0</v>
      </c>
      <c r="I9" s="65">
        <f t="shared" si="0"/>
        <v>0</v>
      </c>
      <c r="J9" s="43"/>
    </row>
    <row r="10" spans="1:255" x14ac:dyDescent="0.25">
      <c r="A10" s="66"/>
      <c r="B10" s="67">
        <v>133001</v>
      </c>
      <c r="C10" s="67">
        <v>41</v>
      </c>
      <c r="D10" s="68" t="s">
        <v>40</v>
      </c>
      <c r="E10" s="69">
        <v>115</v>
      </c>
      <c r="F10" s="69">
        <v>150</v>
      </c>
      <c r="G10" s="69">
        <f>'Dane a poplatky'!G18</f>
        <v>0</v>
      </c>
      <c r="H10" s="64">
        <f t="shared" si="0"/>
        <v>0</v>
      </c>
      <c r="I10" s="65">
        <f t="shared" si="0"/>
        <v>0</v>
      </c>
      <c r="J10" s="43"/>
    </row>
    <row r="11" spans="1:255" x14ac:dyDescent="0.25">
      <c r="A11" s="66"/>
      <c r="B11" s="67">
        <v>133013</v>
      </c>
      <c r="C11" s="67">
        <v>41</v>
      </c>
      <c r="D11" s="68" t="s">
        <v>41</v>
      </c>
      <c r="E11" s="69">
        <v>1757</v>
      </c>
      <c r="F11" s="69">
        <v>1900</v>
      </c>
      <c r="G11" s="69">
        <f>'Dane a poplatky'!G19</f>
        <v>0</v>
      </c>
      <c r="H11" s="64">
        <f t="shared" si="0"/>
        <v>0</v>
      </c>
      <c r="I11" s="65">
        <f t="shared" si="0"/>
        <v>0</v>
      </c>
      <c r="J11" s="43"/>
    </row>
    <row r="12" spans="1:255" x14ac:dyDescent="0.25">
      <c r="A12" s="66"/>
      <c r="B12" s="67">
        <v>212002</v>
      </c>
      <c r="C12" s="67">
        <v>41</v>
      </c>
      <c r="D12" s="68" t="s">
        <v>42</v>
      </c>
      <c r="E12" s="69">
        <v>890</v>
      </c>
      <c r="F12" s="69">
        <v>800</v>
      </c>
      <c r="G12" s="69">
        <v>455</v>
      </c>
      <c r="H12" s="64">
        <v>455</v>
      </c>
      <c r="I12" s="65">
        <v>455</v>
      </c>
      <c r="J12" s="43"/>
      <c r="K12" s="42" t="s">
        <v>117</v>
      </c>
    </row>
    <row r="13" spans="1:255" ht="15.75" customHeight="1" x14ac:dyDescent="0.25">
      <c r="A13" s="66"/>
      <c r="B13" s="67">
        <v>212003</v>
      </c>
      <c r="C13" s="67">
        <v>41</v>
      </c>
      <c r="D13" s="68" t="s">
        <v>43</v>
      </c>
      <c r="E13" s="69">
        <v>180</v>
      </c>
      <c r="F13" s="69">
        <v>100</v>
      </c>
      <c r="G13" s="69">
        <v>150</v>
      </c>
      <c r="H13" s="64">
        <v>150</v>
      </c>
      <c r="I13" s="65">
        <f>G13</f>
        <v>150</v>
      </c>
      <c r="J13" s="43"/>
    </row>
    <row r="14" spans="1:255" x14ac:dyDescent="0.25">
      <c r="A14" s="66"/>
      <c r="B14" s="67">
        <v>221004</v>
      </c>
      <c r="C14" s="67">
        <v>41</v>
      </c>
      <c r="D14" s="68" t="s">
        <v>44</v>
      </c>
      <c r="E14" s="69">
        <v>140</v>
      </c>
      <c r="F14" s="69">
        <v>100</v>
      </c>
      <c r="G14" s="69">
        <v>100</v>
      </c>
      <c r="H14" s="64">
        <f>G14</f>
        <v>100</v>
      </c>
      <c r="I14" s="65">
        <f>G14</f>
        <v>100</v>
      </c>
      <c r="J14" s="43"/>
    </row>
    <row r="15" spans="1:255" ht="14.4" x14ac:dyDescent="0.3">
      <c r="A15" s="159" t="s">
        <v>45</v>
      </c>
      <c r="B15" s="160"/>
      <c r="C15" s="160"/>
      <c r="D15" s="160"/>
      <c r="E15" s="70">
        <f>SUM(E7:E14)</f>
        <v>46696</v>
      </c>
      <c r="F15" s="70">
        <f>SUM(F7:F14)</f>
        <v>45902</v>
      </c>
      <c r="G15" s="70">
        <f>SUM(G7:G14)</f>
        <v>35930</v>
      </c>
      <c r="H15" s="70">
        <f>SUM(H7:H14)</f>
        <v>36930</v>
      </c>
      <c r="I15" s="71">
        <f>SUM(I7:I14)</f>
        <v>37430</v>
      </c>
      <c r="J15" s="43"/>
    </row>
    <row r="16" spans="1:255" x14ac:dyDescent="0.25">
      <c r="A16" s="72"/>
      <c r="B16" s="73">
        <v>312012</v>
      </c>
      <c r="C16" s="73">
        <v>111</v>
      </c>
      <c r="D16" s="68" t="s">
        <v>46</v>
      </c>
      <c r="E16" s="74">
        <v>18</v>
      </c>
      <c r="F16" s="74">
        <v>18</v>
      </c>
      <c r="G16" s="74">
        <v>20</v>
      </c>
      <c r="H16" s="74">
        <v>20</v>
      </c>
      <c r="I16" s="75">
        <v>20</v>
      </c>
      <c r="J16" s="43"/>
      <c r="K16" s="42" t="s">
        <v>116</v>
      </c>
    </row>
    <row r="17" spans="1:11" x14ac:dyDescent="0.25">
      <c r="A17" s="72"/>
      <c r="B17" s="73">
        <v>312012</v>
      </c>
      <c r="C17" s="73">
        <v>111</v>
      </c>
      <c r="D17" s="68" t="s">
        <v>47</v>
      </c>
      <c r="E17" s="74">
        <v>61</v>
      </c>
      <c r="F17" s="74">
        <v>60</v>
      </c>
      <c r="G17" s="74">
        <v>60</v>
      </c>
      <c r="H17" s="74">
        <f>G17</f>
        <v>60</v>
      </c>
      <c r="I17" s="75">
        <f>G17</f>
        <v>60</v>
      </c>
      <c r="J17" s="43"/>
      <c r="K17" s="42" t="s">
        <v>116</v>
      </c>
    </row>
    <row r="18" spans="1:11" x14ac:dyDescent="0.25">
      <c r="A18" s="72"/>
      <c r="B18" s="73">
        <v>312012</v>
      </c>
      <c r="C18" s="73">
        <v>111</v>
      </c>
      <c r="D18" s="68" t="s">
        <v>48</v>
      </c>
      <c r="E18" s="74">
        <v>21</v>
      </c>
      <c r="F18" s="74">
        <v>20</v>
      </c>
      <c r="G18" s="74">
        <v>20</v>
      </c>
      <c r="H18" s="74">
        <f>G18</f>
        <v>20</v>
      </c>
      <c r="I18" s="75">
        <f>G18</f>
        <v>20</v>
      </c>
      <c r="J18" s="43"/>
      <c r="K18" s="42" t="s">
        <v>116</v>
      </c>
    </row>
    <row r="19" spans="1:11" ht="14.4" x14ac:dyDescent="0.3">
      <c r="A19" s="159" t="s">
        <v>49</v>
      </c>
      <c r="B19" s="160"/>
      <c r="C19" s="160"/>
      <c r="D19" s="160"/>
      <c r="E19" s="70">
        <f>SUM(E16:E18)</f>
        <v>100</v>
      </c>
      <c r="F19" s="70">
        <f>SUM(F16:F18)</f>
        <v>98</v>
      </c>
      <c r="G19" s="70">
        <f>SUM(G16:G18)</f>
        <v>100</v>
      </c>
      <c r="H19" s="70">
        <f>SUM(H16:H18)</f>
        <v>100</v>
      </c>
      <c r="I19" s="71">
        <f>SUM(I16:I18)</f>
        <v>100</v>
      </c>
      <c r="J19" s="43"/>
    </row>
    <row r="20" spans="1:11" ht="14.4" x14ac:dyDescent="0.3">
      <c r="A20" s="161" t="s">
        <v>50</v>
      </c>
      <c r="B20" s="162"/>
      <c r="C20" s="162"/>
      <c r="D20" s="162"/>
      <c r="E20" s="76">
        <f>E15+E19</f>
        <v>46796</v>
      </c>
      <c r="F20" s="76">
        <f>F15+F19</f>
        <v>46000</v>
      </c>
      <c r="G20" s="76">
        <f>G15+G19</f>
        <v>36030</v>
      </c>
      <c r="H20" s="76">
        <f>H15+H19</f>
        <v>37030</v>
      </c>
      <c r="I20" s="77">
        <f>I15+I19</f>
        <v>37530</v>
      </c>
      <c r="J20" s="43"/>
    </row>
    <row r="21" spans="1:11" ht="15" thickBot="1" x14ac:dyDescent="0.35">
      <c r="A21" s="163" t="s">
        <v>51</v>
      </c>
      <c r="B21" s="164"/>
      <c r="C21" s="164"/>
      <c r="D21" s="164"/>
      <c r="E21" s="78">
        <f>E20</f>
        <v>46796</v>
      </c>
      <c r="F21" s="78">
        <f>F20</f>
        <v>46000</v>
      </c>
      <c r="G21" s="78">
        <f>G20</f>
        <v>36030</v>
      </c>
      <c r="H21" s="78">
        <f>H20</f>
        <v>37030</v>
      </c>
      <c r="I21" s="115">
        <f>I20</f>
        <v>37530</v>
      </c>
      <c r="J21" s="43"/>
    </row>
    <row r="22" spans="1:11" ht="15" customHeight="1" x14ac:dyDescent="0.25">
      <c r="A22" s="147" t="s">
        <v>31</v>
      </c>
      <c r="B22" s="148"/>
      <c r="C22" s="148" t="s">
        <v>32</v>
      </c>
      <c r="D22" s="148" t="s">
        <v>33</v>
      </c>
      <c r="E22" s="152" t="s">
        <v>103</v>
      </c>
      <c r="F22" s="152" t="s">
        <v>102</v>
      </c>
      <c r="G22" s="150">
        <v>2025</v>
      </c>
      <c r="H22" s="150">
        <v>2026</v>
      </c>
      <c r="I22" s="134">
        <v>2027</v>
      </c>
      <c r="J22" s="43"/>
    </row>
    <row r="23" spans="1:11" ht="15.75" customHeight="1" thickBot="1" x14ac:dyDescent="0.3">
      <c r="A23" s="79" t="s">
        <v>34</v>
      </c>
      <c r="B23" s="80" t="s">
        <v>35</v>
      </c>
      <c r="C23" s="149"/>
      <c r="D23" s="149"/>
      <c r="E23" s="153"/>
      <c r="F23" s="153"/>
      <c r="G23" s="151"/>
      <c r="H23" s="151"/>
      <c r="I23" s="135"/>
      <c r="J23" s="43"/>
    </row>
    <row r="24" spans="1:11" ht="14.4" thickBot="1" x14ac:dyDescent="0.3">
      <c r="A24" s="136" t="s">
        <v>52</v>
      </c>
      <c r="B24" s="137"/>
      <c r="C24" s="137"/>
      <c r="D24" s="137"/>
      <c r="E24" s="137"/>
      <c r="F24" s="137"/>
      <c r="G24" s="137"/>
      <c r="H24" s="137"/>
      <c r="I24" s="138"/>
      <c r="J24" s="43"/>
    </row>
    <row r="25" spans="1:11" x14ac:dyDescent="0.25">
      <c r="A25" s="81" t="s">
        <v>53</v>
      </c>
      <c r="B25" s="82">
        <v>611</v>
      </c>
      <c r="C25" s="83">
        <v>41</v>
      </c>
      <c r="D25" s="84" t="s">
        <v>55</v>
      </c>
      <c r="E25" s="85">
        <v>13490</v>
      </c>
      <c r="F25" s="85">
        <v>13100</v>
      </c>
      <c r="G25" s="47">
        <f>1100*12</f>
        <v>13200</v>
      </c>
      <c r="H25" s="47">
        <f>1100*12*1.03</f>
        <v>13596</v>
      </c>
      <c r="I25" s="116">
        <f>ROUNDUP(H25*1.03,0)-350</f>
        <v>13654</v>
      </c>
      <c r="J25" s="43"/>
      <c r="K25" s="42" t="s">
        <v>138</v>
      </c>
    </row>
    <row r="26" spans="1:11" x14ac:dyDescent="0.25">
      <c r="A26" s="86" t="s">
        <v>53</v>
      </c>
      <c r="B26" s="73">
        <v>621</v>
      </c>
      <c r="C26" s="67">
        <v>41</v>
      </c>
      <c r="D26" s="68" t="s">
        <v>56</v>
      </c>
      <c r="E26" s="87">
        <v>1610</v>
      </c>
      <c r="F26" s="87">
        <v>1310</v>
      </c>
      <c r="G26" s="87">
        <f>ROUNDUP(G25*0.11,0)</f>
        <v>1452</v>
      </c>
      <c r="H26" s="87">
        <f>ROUNDUP(H25*0.11,0)</f>
        <v>1496</v>
      </c>
      <c r="I26" s="104">
        <f>ROUNDUP(I25*0.11,0)</f>
        <v>1502</v>
      </c>
      <c r="J26" s="43"/>
    </row>
    <row r="27" spans="1:11" x14ac:dyDescent="0.25">
      <c r="A27" s="86" t="s">
        <v>53</v>
      </c>
      <c r="B27" s="73">
        <v>625001</v>
      </c>
      <c r="C27" s="67">
        <v>41</v>
      </c>
      <c r="D27" s="68" t="s">
        <v>57</v>
      </c>
      <c r="E27" s="87">
        <v>190</v>
      </c>
      <c r="F27" s="87">
        <v>186</v>
      </c>
      <c r="G27" s="87">
        <f>ROUNDUP(G25*0.014,0)</f>
        <v>185</v>
      </c>
      <c r="H27" s="87">
        <f t="shared" ref="H27:I27" si="1">ROUNDUP(H25*0.014,0)</f>
        <v>191</v>
      </c>
      <c r="I27" s="104">
        <f t="shared" si="1"/>
        <v>192</v>
      </c>
      <c r="J27" s="43"/>
    </row>
    <row r="28" spans="1:11" x14ac:dyDescent="0.25">
      <c r="A28" s="86" t="s">
        <v>53</v>
      </c>
      <c r="B28" s="73">
        <v>625002</v>
      </c>
      <c r="C28" s="67">
        <v>41</v>
      </c>
      <c r="D28" s="88" t="s">
        <v>58</v>
      </c>
      <c r="E28" s="87">
        <v>2193</v>
      </c>
      <c r="F28" s="87">
        <v>1860</v>
      </c>
      <c r="G28" s="87">
        <f>ROUNDUP(G25*0.14,0)</f>
        <v>1848</v>
      </c>
      <c r="H28" s="87">
        <f t="shared" ref="H28:I28" si="2">ROUNDUP(H25*0.14,0)</f>
        <v>1904</v>
      </c>
      <c r="I28" s="104">
        <f t="shared" si="2"/>
        <v>1912</v>
      </c>
      <c r="J28" s="43"/>
    </row>
    <row r="29" spans="1:11" x14ac:dyDescent="0.25">
      <c r="A29" s="86" t="s">
        <v>53</v>
      </c>
      <c r="B29" s="73">
        <v>625003</v>
      </c>
      <c r="C29" s="67">
        <v>41</v>
      </c>
      <c r="D29" s="88" t="s">
        <v>59</v>
      </c>
      <c r="E29" s="87">
        <v>125</v>
      </c>
      <c r="F29" s="87">
        <v>111</v>
      </c>
      <c r="G29" s="87">
        <f>ROUNDUP(G25*0.008,0)</f>
        <v>106</v>
      </c>
      <c r="H29" s="87">
        <f t="shared" ref="H29:I29" si="3">ROUNDUP(H25*0.008,0)</f>
        <v>109</v>
      </c>
      <c r="I29" s="104">
        <f t="shared" si="3"/>
        <v>110</v>
      </c>
      <c r="J29" s="43"/>
    </row>
    <row r="30" spans="1:11" x14ac:dyDescent="0.25">
      <c r="A30" s="86" t="s">
        <v>53</v>
      </c>
      <c r="B30" s="73">
        <v>625004</v>
      </c>
      <c r="C30" s="67">
        <v>41</v>
      </c>
      <c r="D30" s="88" t="s">
        <v>60</v>
      </c>
      <c r="E30" s="87">
        <v>470</v>
      </c>
      <c r="F30" s="87">
        <v>397</v>
      </c>
      <c r="G30" s="87">
        <f>ROUNDUP(G25*0.03,0)</f>
        <v>396</v>
      </c>
      <c r="H30" s="87">
        <f t="shared" ref="H30:I30" si="4">ROUNDUP(H25*0.03,0)</f>
        <v>408</v>
      </c>
      <c r="I30" s="104">
        <f t="shared" si="4"/>
        <v>410</v>
      </c>
      <c r="J30" s="43"/>
    </row>
    <row r="31" spans="1:11" x14ac:dyDescent="0.25">
      <c r="A31" s="86" t="s">
        <v>53</v>
      </c>
      <c r="B31" s="73">
        <v>625005</v>
      </c>
      <c r="C31" s="67">
        <v>41</v>
      </c>
      <c r="D31" s="88" t="s">
        <v>61</v>
      </c>
      <c r="E31" s="87">
        <v>136</v>
      </c>
      <c r="F31" s="87">
        <v>137</v>
      </c>
      <c r="G31" s="87">
        <f>ROUNDUP(G25*0.005,0)</f>
        <v>66</v>
      </c>
      <c r="H31" s="87">
        <f t="shared" ref="H31:I31" si="5">ROUNDUP(H25*0.005,0)</f>
        <v>68</v>
      </c>
      <c r="I31" s="104">
        <f t="shared" si="5"/>
        <v>69</v>
      </c>
      <c r="J31" s="43"/>
    </row>
    <row r="32" spans="1:11" x14ac:dyDescent="0.25">
      <c r="A32" s="86" t="s">
        <v>53</v>
      </c>
      <c r="B32" s="73">
        <v>625007</v>
      </c>
      <c r="C32" s="67">
        <v>41</v>
      </c>
      <c r="D32" s="88" t="s">
        <v>62</v>
      </c>
      <c r="E32" s="87">
        <v>744</v>
      </c>
      <c r="F32" s="87">
        <v>631</v>
      </c>
      <c r="G32" s="87">
        <f>ROUNDUP(G25*0.0475,0)</f>
        <v>627</v>
      </c>
      <c r="H32" s="87">
        <f t="shared" ref="H32:I32" si="6">ROUNDUP(H25*0.0475,0)</f>
        <v>646</v>
      </c>
      <c r="I32" s="104">
        <f t="shared" si="6"/>
        <v>649</v>
      </c>
      <c r="J32" s="43"/>
    </row>
    <row r="33" spans="1:11" x14ac:dyDescent="0.25">
      <c r="A33" s="86" t="s">
        <v>100</v>
      </c>
      <c r="B33" s="73"/>
      <c r="C33" s="67">
        <v>41</v>
      </c>
      <c r="D33" s="88" t="s">
        <v>99</v>
      </c>
      <c r="E33" s="89">
        <v>0</v>
      </c>
      <c r="F33" s="89">
        <v>0</v>
      </c>
      <c r="G33" s="87">
        <f>ROUNDUP(G25*0.0075,0)</f>
        <v>99</v>
      </c>
      <c r="H33" s="87">
        <f t="shared" ref="H33:I33" si="7">ROUNDUP(H25*0.0075,0)</f>
        <v>102</v>
      </c>
      <c r="I33" s="104">
        <f t="shared" si="7"/>
        <v>103</v>
      </c>
      <c r="J33" s="43"/>
    </row>
    <row r="34" spans="1:11" x14ac:dyDescent="0.25">
      <c r="A34" s="86" t="s">
        <v>53</v>
      </c>
      <c r="B34" s="73">
        <v>631001</v>
      </c>
      <c r="C34" s="67">
        <v>41</v>
      </c>
      <c r="D34" s="88" t="s">
        <v>63</v>
      </c>
      <c r="E34" s="89">
        <v>1430</v>
      </c>
      <c r="F34" s="89">
        <f>1200</f>
        <v>1200</v>
      </c>
      <c r="G34" s="50">
        <f>65*12</f>
        <v>780</v>
      </c>
      <c r="H34" s="50">
        <f t="shared" ref="H34:I34" si="8">65*12</f>
        <v>780</v>
      </c>
      <c r="I34" s="117">
        <f t="shared" si="8"/>
        <v>780</v>
      </c>
      <c r="J34" s="43"/>
      <c r="K34" s="42" t="s">
        <v>104</v>
      </c>
    </row>
    <row r="35" spans="1:11" x14ac:dyDescent="0.25">
      <c r="A35" s="86" t="s">
        <v>53</v>
      </c>
      <c r="B35" s="73">
        <v>632001</v>
      </c>
      <c r="C35" s="67">
        <v>41</v>
      </c>
      <c r="D35" s="88" t="s">
        <v>64</v>
      </c>
      <c r="E35" s="89">
        <v>2647</v>
      </c>
      <c r="F35" s="89">
        <v>3600</v>
      </c>
      <c r="G35" s="49">
        <f>450*12</f>
        <v>5400</v>
      </c>
      <c r="H35" s="49">
        <f>450*12*1.05</f>
        <v>5670</v>
      </c>
      <c r="I35" s="118">
        <f>ROUNDUP(H35*1.05,0)</f>
        <v>5954</v>
      </c>
      <c r="J35" s="43"/>
    </row>
    <row r="36" spans="1:11" x14ac:dyDescent="0.25">
      <c r="A36" s="86" t="s">
        <v>53</v>
      </c>
      <c r="B36" s="73">
        <v>632003</v>
      </c>
      <c r="C36" s="67">
        <v>41</v>
      </c>
      <c r="D36" s="88" t="s">
        <v>65</v>
      </c>
      <c r="E36" s="89">
        <v>67</v>
      </c>
      <c r="F36" s="89">
        <v>100</v>
      </c>
      <c r="G36" s="49">
        <v>100</v>
      </c>
      <c r="H36" s="48">
        <v>100</v>
      </c>
      <c r="I36" s="51">
        <f t="shared" ref="H36:I52" si="9">H36</f>
        <v>100</v>
      </c>
      <c r="J36" s="43"/>
    </row>
    <row r="37" spans="1:11" x14ac:dyDescent="0.25">
      <c r="A37" s="86" t="s">
        <v>53</v>
      </c>
      <c r="B37" s="73">
        <v>632005</v>
      </c>
      <c r="C37" s="67">
        <v>41</v>
      </c>
      <c r="D37" s="88" t="s">
        <v>66</v>
      </c>
      <c r="E37" s="89">
        <v>255</v>
      </c>
      <c r="F37" s="89">
        <v>300</v>
      </c>
      <c r="G37" s="49">
        <v>400</v>
      </c>
      <c r="H37" s="48">
        <v>400</v>
      </c>
      <c r="I37" s="51">
        <v>400</v>
      </c>
      <c r="J37" s="43"/>
      <c r="K37" s="42" t="s">
        <v>115</v>
      </c>
    </row>
    <row r="38" spans="1:11" x14ac:dyDescent="0.25">
      <c r="A38" s="86" t="s">
        <v>53</v>
      </c>
      <c r="B38" s="73">
        <v>633001</v>
      </c>
      <c r="C38" s="67">
        <v>41</v>
      </c>
      <c r="D38" s="88" t="s">
        <v>67</v>
      </c>
      <c r="E38" s="89">
        <v>0</v>
      </c>
      <c r="F38" s="89">
        <v>250</v>
      </c>
      <c r="G38" s="50">
        <v>100</v>
      </c>
      <c r="H38" s="50">
        <v>100</v>
      </c>
      <c r="I38" s="117">
        <v>89</v>
      </c>
      <c r="J38" s="43"/>
      <c r="K38" s="42" t="s">
        <v>105</v>
      </c>
    </row>
    <row r="39" spans="1:11" x14ac:dyDescent="0.25">
      <c r="A39" s="86" t="s">
        <v>53</v>
      </c>
      <c r="B39" s="73">
        <v>633006</v>
      </c>
      <c r="C39" s="67">
        <v>41</v>
      </c>
      <c r="D39" s="88" t="s">
        <v>68</v>
      </c>
      <c r="E39" s="89">
        <v>3116</v>
      </c>
      <c r="F39" s="89">
        <v>3000</v>
      </c>
      <c r="G39" s="50">
        <v>1800</v>
      </c>
      <c r="H39" s="50">
        <v>1800</v>
      </c>
      <c r="I39" s="117">
        <v>1800</v>
      </c>
      <c r="J39" s="43"/>
      <c r="K39" s="42" t="s">
        <v>106</v>
      </c>
    </row>
    <row r="40" spans="1:11" x14ac:dyDescent="0.25">
      <c r="A40" s="86" t="s">
        <v>53</v>
      </c>
      <c r="B40" s="73">
        <v>633016</v>
      </c>
      <c r="C40" s="67">
        <v>41</v>
      </c>
      <c r="D40" s="88" t="s">
        <v>107</v>
      </c>
      <c r="E40" s="89">
        <v>179</v>
      </c>
      <c r="F40" s="89">
        <v>100</v>
      </c>
      <c r="G40" s="50">
        <v>600</v>
      </c>
      <c r="H40" s="50">
        <v>600</v>
      </c>
      <c r="I40" s="117">
        <v>600</v>
      </c>
      <c r="J40" s="43"/>
      <c r="K40" s="42" t="s">
        <v>108</v>
      </c>
    </row>
    <row r="41" spans="1:11" x14ac:dyDescent="0.25">
      <c r="A41" s="86" t="s">
        <v>53</v>
      </c>
      <c r="B41" s="73">
        <v>635004</v>
      </c>
      <c r="C41" s="67">
        <v>41</v>
      </c>
      <c r="D41" s="88" t="s">
        <v>69</v>
      </c>
      <c r="E41" s="89">
        <v>355</v>
      </c>
      <c r="F41" s="89">
        <v>500</v>
      </c>
      <c r="G41" s="50">
        <v>321</v>
      </c>
      <c r="H41" s="50">
        <v>190</v>
      </c>
      <c r="I41" s="117">
        <v>190</v>
      </c>
      <c r="J41" s="43"/>
      <c r="K41" s="42" t="s">
        <v>109</v>
      </c>
    </row>
    <row r="42" spans="1:11" x14ac:dyDescent="0.25">
      <c r="A42" s="86" t="s">
        <v>53</v>
      </c>
      <c r="B42" s="73">
        <v>635006</v>
      </c>
      <c r="C42" s="67">
        <v>41</v>
      </c>
      <c r="D42" s="88" t="s">
        <v>70</v>
      </c>
      <c r="E42" s="89">
        <v>169</v>
      </c>
      <c r="F42" s="89">
        <v>150</v>
      </c>
      <c r="G42" s="50">
        <v>150</v>
      </c>
      <c r="H42" s="50">
        <v>150</v>
      </c>
      <c r="I42" s="117">
        <v>150</v>
      </c>
      <c r="J42" s="43"/>
      <c r="K42" s="42" t="s">
        <v>110</v>
      </c>
    </row>
    <row r="43" spans="1:11" x14ac:dyDescent="0.25">
      <c r="A43" s="86" t="s">
        <v>53</v>
      </c>
      <c r="B43" s="73">
        <v>637004</v>
      </c>
      <c r="C43" s="67">
        <v>41</v>
      </c>
      <c r="D43" s="88" t="s">
        <v>71</v>
      </c>
      <c r="E43" s="89">
        <v>1442</v>
      </c>
      <c r="F43" s="89">
        <v>950</v>
      </c>
      <c r="G43" s="49">
        <v>1200</v>
      </c>
      <c r="H43" s="49">
        <v>1200</v>
      </c>
      <c r="I43" s="118">
        <v>1200</v>
      </c>
      <c r="J43" s="43"/>
      <c r="K43" s="42" t="s">
        <v>111</v>
      </c>
    </row>
    <row r="44" spans="1:11" x14ac:dyDescent="0.25">
      <c r="A44" s="86" t="s">
        <v>53</v>
      </c>
      <c r="B44" s="73">
        <v>637004</v>
      </c>
      <c r="C44" s="67">
        <v>41</v>
      </c>
      <c r="D44" s="88" t="s">
        <v>101</v>
      </c>
      <c r="E44" s="89">
        <v>2706</v>
      </c>
      <c r="F44" s="89">
        <v>3200</v>
      </c>
      <c r="G44" s="89">
        <v>3200</v>
      </c>
      <c r="H44" s="87">
        <v>3400</v>
      </c>
      <c r="I44" s="104">
        <v>3500</v>
      </c>
      <c r="J44" s="43"/>
    </row>
    <row r="45" spans="1:11" x14ac:dyDescent="0.25">
      <c r="A45" s="86" t="s">
        <v>53</v>
      </c>
      <c r="B45" s="73">
        <v>637012</v>
      </c>
      <c r="C45" s="67">
        <v>41</v>
      </c>
      <c r="D45" s="68" t="s">
        <v>72</v>
      </c>
      <c r="E45" s="89">
        <v>552</v>
      </c>
      <c r="F45" s="89">
        <v>600</v>
      </c>
      <c r="G45" s="89">
        <v>750</v>
      </c>
      <c r="H45" s="87">
        <v>800</v>
      </c>
      <c r="I45" s="104">
        <v>850</v>
      </c>
      <c r="J45" s="43"/>
    </row>
    <row r="46" spans="1:11" x14ac:dyDescent="0.25">
      <c r="A46" s="86" t="s">
        <v>53</v>
      </c>
      <c r="B46" s="73">
        <v>637015</v>
      </c>
      <c r="C46" s="67">
        <v>41</v>
      </c>
      <c r="D46" s="68" t="s">
        <v>73</v>
      </c>
      <c r="E46" s="89">
        <f>266+83</f>
        <v>349</v>
      </c>
      <c r="F46" s="89">
        <v>400</v>
      </c>
      <c r="G46" s="89">
        <v>450</v>
      </c>
      <c r="H46" s="87">
        <v>470</v>
      </c>
      <c r="I46" s="104">
        <v>476</v>
      </c>
      <c r="J46" s="43"/>
    </row>
    <row r="47" spans="1:11" x14ac:dyDescent="0.25">
      <c r="A47" s="86" t="s">
        <v>53</v>
      </c>
      <c r="B47" s="73">
        <v>637016</v>
      </c>
      <c r="C47" s="67">
        <v>41</v>
      </c>
      <c r="D47" s="68" t="s">
        <v>74</v>
      </c>
      <c r="E47" s="89">
        <v>130</v>
      </c>
      <c r="F47" s="89">
        <v>120</v>
      </c>
      <c r="G47" s="89">
        <f>G25*0.01</f>
        <v>132</v>
      </c>
      <c r="H47" s="87">
        <f t="shared" si="9"/>
        <v>132</v>
      </c>
      <c r="I47" s="104">
        <f t="shared" si="9"/>
        <v>132</v>
      </c>
      <c r="J47" s="43"/>
    </row>
    <row r="48" spans="1:11" x14ac:dyDescent="0.25">
      <c r="A48" s="86" t="s">
        <v>53</v>
      </c>
      <c r="B48" s="73">
        <v>637026</v>
      </c>
      <c r="C48" s="67">
        <v>41</v>
      </c>
      <c r="D48" s="88" t="s">
        <v>75</v>
      </c>
      <c r="E48" s="89">
        <v>2200</v>
      </c>
      <c r="F48" s="89">
        <v>1500</v>
      </c>
      <c r="G48" s="50">
        <v>1500</v>
      </c>
      <c r="H48" s="50">
        <v>1500</v>
      </c>
      <c r="I48" s="117">
        <v>1500</v>
      </c>
      <c r="J48" s="43"/>
      <c r="K48" s="42" t="s">
        <v>112</v>
      </c>
    </row>
    <row r="49" spans="1:11" x14ac:dyDescent="0.25">
      <c r="A49" s="86" t="s">
        <v>53</v>
      </c>
      <c r="B49" s="73">
        <v>637027</v>
      </c>
      <c r="C49" s="67">
        <v>41</v>
      </c>
      <c r="D49" s="88" t="s">
        <v>76</v>
      </c>
      <c r="E49" s="89">
        <v>0</v>
      </c>
      <c r="F49" s="89">
        <v>700</v>
      </c>
      <c r="G49" s="50">
        <v>200</v>
      </c>
      <c r="H49" s="50">
        <v>200</v>
      </c>
      <c r="I49" s="117">
        <v>200</v>
      </c>
      <c r="J49" s="43"/>
    </row>
    <row r="50" spans="1:11" x14ac:dyDescent="0.25">
      <c r="A50" s="86" t="s">
        <v>53</v>
      </c>
      <c r="B50" s="73">
        <v>642006</v>
      </c>
      <c r="C50" s="67">
        <v>41</v>
      </c>
      <c r="D50" s="88" t="s">
        <v>77</v>
      </c>
      <c r="E50" s="89">
        <v>443</v>
      </c>
      <c r="F50" s="89">
        <v>500</v>
      </c>
      <c r="G50" s="89">
        <v>500</v>
      </c>
      <c r="H50" s="87">
        <v>550</v>
      </c>
      <c r="I50" s="104">
        <v>550</v>
      </c>
      <c r="J50" s="43"/>
      <c r="K50" s="42" t="s">
        <v>113</v>
      </c>
    </row>
    <row r="51" spans="1:11" x14ac:dyDescent="0.25">
      <c r="A51" s="86" t="s">
        <v>78</v>
      </c>
      <c r="B51" s="73">
        <v>821005</v>
      </c>
      <c r="C51" s="67">
        <v>41</v>
      </c>
      <c r="D51" s="88" t="s">
        <v>79</v>
      </c>
      <c r="E51" s="89">
        <v>1200</v>
      </c>
      <c r="F51" s="89">
        <v>1200</v>
      </c>
      <c r="G51" s="89">
        <v>1200</v>
      </c>
      <c r="H51" s="87">
        <v>1200</v>
      </c>
      <c r="I51" s="104">
        <v>1200</v>
      </c>
      <c r="J51" s="43"/>
      <c r="K51" s="42" t="s">
        <v>114</v>
      </c>
    </row>
    <row r="52" spans="1:11" x14ac:dyDescent="0.25">
      <c r="A52" s="86" t="s">
        <v>80</v>
      </c>
      <c r="B52" s="73">
        <v>642006</v>
      </c>
      <c r="C52" s="67">
        <v>41</v>
      </c>
      <c r="D52" s="88" t="s">
        <v>120</v>
      </c>
      <c r="E52" s="89">
        <v>50</v>
      </c>
      <c r="F52" s="89">
        <v>50</v>
      </c>
      <c r="G52" s="49">
        <v>50</v>
      </c>
      <c r="H52" s="48">
        <f t="shared" si="9"/>
        <v>50</v>
      </c>
      <c r="I52" s="51">
        <f t="shared" si="9"/>
        <v>50</v>
      </c>
      <c r="J52" s="43"/>
    </row>
    <row r="53" spans="1:11" x14ac:dyDescent="0.25">
      <c r="A53" s="86" t="s">
        <v>81</v>
      </c>
      <c r="B53" s="73">
        <v>637004</v>
      </c>
      <c r="C53" s="67">
        <v>41</v>
      </c>
      <c r="D53" s="88" t="s">
        <v>82</v>
      </c>
      <c r="E53" s="89">
        <v>518</v>
      </c>
      <c r="F53" s="89">
        <v>500</v>
      </c>
      <c r="G53" s="50">
        <v>600</v>
      </c>
      <c r="H53" s="50">
        <v>600</v>
      </c>
      <c r="I53" s="117">
        <v>600</v>
      </c>
      <c r="J53" s="43"/>
    </row>
    <row r="54" spans="1:11" x14ac:dyDescent="0.25">
      <c r="A54" s="86" t="s">
        <v>83</v>
      </c>
      <c r="B54" s="73">
        <v>637004</v>
      </c>
      <c r="C54" s="73">
        <v>41</v>
      </c>
      <c r="D54" s="68" t="s">
        <v>84</v>
      </c>
      <c r="E54" s="89">
        <v>1186</v>
      </c>
      <c r="F54" s="89">
        <v>1400</v>
      </c>
      <c r="G54" s="89">
        <f>80*26+300</f>
        <v>2380</v>
      </c>
      <c r="H54" s="89">
        <v>2380</v>
      </c>
      <c r="I54" s="119">
        <v>2380</v>
      </c>
      <c r="J54" s="43"/>
    </row>
    <row r="55" spans="1:11" x14ac:dyDescent="0.25">
      <c r="A55" s="86" t="s">
        <v>83</v>
      </c>
      <c r="B55" s="73">
        <v>637012</v>
      </c>
      <c r="C55" s="73">
        <v>41</v>
      </c>
      <c r="D55" s="68" t="s">
        <v>85</v>
      </c>
      <c r="E55" s="89">
        <v>2106</v>
      </c>
      <c r="F55" s="89">
        <v>3200</v>
      </c>
      <c r="G55" s="89">
        <f>(52+74)*33</f>
        <v>4158</v>
      </c>
      <c r="H55" s="89">
        <v>4158</v>
      </c>
      <c r="I55" s="119">
        <v>4158</v>
      </c>
      <c r="J55" s="43"/>
    </row>
    <row r="56" spans="1:11" x14ac:dyDescent="0.25">
      <c r="A56" s="86" t="s">
        <v>86</v>
      </c>
      <c r="B56" s="73">
        <v>632001</v>
      </c>
      <c r="C56" s="67">
        <v>41</v>
      </c>
      <c r="D56" s="68" t="s">
        <v>87</v>
      </c>
      <c r="E56" s="89">
        <v>276</v>
      </c>
      <c r="F56" s="89">
        <v>500</v>
      </c>
      <c r="G56" s="50">
        <v>500</v>
      </c>
      <c r="H56" s="50">
        <v>500</v>
      </c>
      <c r="I56" s="117">
        <v>500</v>
      </c>
      <c r="J56" s="43"/>
    </row>
    <row r="57" spans="1:11" x14ac:dyDescent="0.25">
      <c r="A57" s="86" t="s">
        <v>86</v>
      </c>
      <c r="B57" s="73">
        <v>635006</v>
      </c>
      <c r="C57" s="67">
        <v>41</v>
      </c>
      <c r="D57" s="68" t="s">
        <v>88</v>
      </c>
      <c r="E57" s="89">
        <v>77</v>
      </c>
      <c r="F57" s="89">
        <v>150</v>
      </c>
      <c r="G57" s="50">
        <v>150</v>
      </c>
      <c r="H57" s="50">
        <v>150</v>
      </c>
      <c r="I57" s="117">
        <v>140</v>
      </c>
      <c r="J57" s="43"/>
    </row>
    <row r="58" spans="1:11" ht="14.4" thickBot="1" x14ac:dyDescent="0.3">
      <c r="A58" s="90" t="s">
        <v>89</v>
      </c>
      <c r="B58" s="91">
        <v>637002</v>
      </c>
      <c r="C58" s="92">
        <v>41</v>
      </c>
      <c r="D58" s="93" t="s">
        <v>90</v>
      </c>
      <c r="E58" s="94">
        <v>5054</v>
      </c>
      <c r="F58" s="94">
        <v>4000</v>
      </c>
      <c r="G58" s="52">
        <v>3800</v>
      </c>
      <c r="H58" s="52">
        <v>3800</v>
      </c>
      <c r="I58" s="120">
        <v>3800</v>
      </c>
      <c r="J58" s="43"/>
      <c r="K58" s="42" t="s">
        <v>121</v>
      </c>
    </row>
    <row r="59" spans="1:11" ht="15" thickBot="1" x14ac:dyDescent="0.35">
      <c r="A59" s="139" t="s">
        <v>91</v>
      </c>
      <c r="B59" s="140"/>
      <c r="C59" s="140"/>
      <c r="D59" s="140"/>
      <c r="E59" s="95">
        <f t="shared" ref="E59:F59" si="10">SUM(E25:E58)</f>
        <v>45465</v>
      </c>
      <c r="F59" s="95">
        <f t="shared" si="10"/>
        <v>45902</v>
      </c>
      <c r="G59" s="95">
        <f>SUM(G25:G58)</f>
        <v>48400</v>
      </c>
      <c r="H59" s="95">
        <f>SUM(H25:H58)</f>
        <v>49400</v>
      </c>
      <c r="I59" s="105">
        <f>SUM(I25:I58)</f>
        <v>49900</v>
      </c>
      <c r="J59" s="43"/>
    </row>
    <row r="60" spans="1:11" x14ac:dyDescent="0.25">
      <c r="A60" s="96" t="s">
        <v>53</v>
      </c>
      <c r="B60" s="97" t="s">
        <v>54</v>
      </c>
      <c r="C60" s="62">
        <v>111</v>
      </c>
      <c r="D60" s="63" t="s">
        <v>92</v>
      </c>
      <c r="E60" s="98">
        <v>78</v>
      </c>
      <c r="F60" s="98">
        <v>78</v>
      </c>
      <c r="G60" s="98">
        <v>80</v>
      </c>
      <c r="H60" s="98">
        <f>G60</f>
        <v>80</v>
      </c>
      <c r="I60" s="106">
        <f>G60</f>
        <v>80</v>
      </c>
      <c r="J60" s="43"/>
    </row>
    <row r="61" spans="1:11" ht="14.4" thickBot="1" x14ac:dyDescent="0.3">
      <c r="A61" s="90" t="s">
        <v>93</v>
      </c>
      <c r="B61" s="91">
        <v>637004</v>
      </c>
      <c r="C61" s="92">
        <v>111</v>
      </c>
      <c r="D61" s="121" t="s">
        <v>94</v>
      </c>
      <c r="E61" s="122">
        <v>21</v>
      </c>
      <c r="F61" s="122">
        <v>20</v>
      </c>
      <c r="G61" s="122">
        <v>20</v>
      </c>
      <c r="H61" s="122">
        <v>20</v>
      </c>
      <c r="I61" s="123">
        <f>G61</f>
        <v>20</v>
      </c>
      <c r="J61" s="43"/>
    </row>
    <row r="62" spans="1:11" ht="15" thickBot="1" x14ac:dyDescent="0.35">
      <c r="A62" s="141" t="s">
        <v>95</v>
      </c>
      <c r="B62" s="142"/>
      <c r="C62" s="142"/>
      <c r="D62" s="142"/>
      <c r="E62" s="99">
        <f t="shared" ref="E62:F62" si="11">SUM(E60:E61)</f>
        <v>99</v>
      </c>
      <c r="F62" s="99">
        <f t="shared" si="11"/>
        <v>98</v>
      </c>
      <c r="G62" s="99">
        <f>SUM(G60:G61)</f>
        <v>100</v>
      </c>
      <c r="H62" s="99">
        <f>SUM(H60:H61)</f>
        <v>100</v>
      </c>
      <c r="I62" s="107">
        <f>SUM(I60:I61)</f>
        <v>100</v>
      </c>
      <c r="J62" s="43"/>
    </row>
    <row r="63" spans="1:11" ht="15" thickBot="1" x14ac:dyDescent="0.35">
      <c r="A63" s="143" t="s">
        <v>96</v>
      </c>
      <c r="B63" s="144"/>
      <c r="C63" s="144"/>
      <c r="D63" s="144"/>
      <c r="E63" s="100">
        <f t="shared" ref="E63:F63" si="12">E59+E62</f>
        <v>45564</v>
      </c>
      <c r="F63" s="100">
        <f t="shared" si="12"/>
        <v>46000</v>
      </c>
      <c r="G63" s="100">
        <f>G59+G62</f>
        <v>48500</v>
      </c>
      <c r="H63" s="100">
        <f>H59+H62</f>
        <v>49500</v>
      </c>
      <c r="I63" s="108">
        <f>I59+I62</f>
        <v>50000</v>
      </c>
      <c r="J63" s="43"/>
    </row>
    <row r="64" spans="1:11" ht="15" thickBot="1" x14ac:dyDescent="0.35">
      <c r="A64" s="145" t="s">
        <v>97</v>
      </c>
      <c r="B64" s="146"/>
      <c r="C64" s="146"/>
      <c r="D64" s="146"/>
      <c r="E64" s="101">
        <f t="shared" ref="E64:F64" si="13">E63</f>
        <v>45564</v>
      </c>
      <c r="F64" s="101">
        <f t="shared" si="13"/>
        <v>46000</v>
      </c>
      <c r="G64" s="101">
        <f>G63</f>
        <v>48500</v>
      </c>
      <c r="H64" s="101">
        <f>H63</f>
        <v>49500</v>
      </c>
      <c r="I64" s="101">
        <f>I63</f>
        <v>50000</v>
      </c>
      <c r="J64" s="43"/>
    </row>
    <row r="65" spans="1:9" ht="15" thickBot="1" x14ac:dyDescent="0.35">
      <c r="A65" s="129" t="s">
        <v>51</v>
      </c>
      <c r="B65" s="130"/>
      <c r="C65" s="130"/>
      <c r="D65" s="130"/>
      <c r="E65" s="102">
        <f t="shared" ref="E65" si="14">E21</f>
        <v>46796</v>
      </c>
      <c r="F65" s="102">
        <f t="shared" ref="F65" si="15">F21</f>
        <v>46000</v>
      </c>
      <c r="G65" s="102">
        <f>G21</f>
        <v>36030</v>
      </c>
      <c r="H65" s="102">
        <f>H21</f>
        <v>37030</v>
      </c>
      <c r="I65" s="109">
        <f>I21</f>
        <v>37530</v>
      </c>
    </row>
    <row r="66" spans="1:9" ht="15" thickBot="1" x14ac:dyDescent="0.35">
      <c r="A66" s="129" t="s">
        <v>97</v>
      </c>
      <c r="B66" s="130"/>
      <c r="C66" s="130"/>
      <c r="D66" s="130"/>
      <c r="E66" s="102">
        <f t="shared" ref="E66" si="16">E64</f>
        <v>45564</v>
      </c>
      <c r="F66" s="102">
        <f t="shared" ref="F66" si="17">F64</f>
        <v>46000</v>
      </c>
      <c r="G66" s="102">
        <f>G64</f>
        <v>48500</v>
      </c>
      <c r="H66" s="102">
        <f>H64</f>
        <v>49500</v>
      </c>
      <c r="I66" s="109">
        <f>I64</f>
        <v>50000</v>
      </c>
    </row>
    <row r="67" spans="1:9" ht="15" thickBot="1" x14ac:dyDescent="0.35">
      <c r="A67" s="131" t="s">
        <v>98</v>
      </c>
      <c r="B67" s="132"/>
      <c r="C67" s="132"/>
      <c r="D67" s="132"/>
      <c r="E67" s="103">
        <f t="shared" ref="E67:F67" si="18">E65-E66</f>
        <v>1232</v>
      </c>
      <c r="F67" s="103">
        <f t="shared" si="18"/>
        <v>0</v>
      </c>
      <c r="G67" s="103">
        <f>G65-G66</f>
        <v>-12470</v>
      </c>
      <c r="H67" s="103">
        <f>H65-H66</f>
        <v>-12470</v>
      </c>
      <c r="I67" s="110">
        <f>I65-I66</f>
        <v>-12470</v>
      </c>
    </row>
    <row r="69" spans="1:9" x14ac:dyDescent="0.25">
      <c r="A69" s="53"/>
      <c r="B69" s="53"/>
      <c r="C69" s="53"/>
      <c r="D69" s="133"/>
      <c r="E69" s="133"/>
      <c r="F69" s="133"/>
      <c r="G69" s="133"/>
    </row>
  </sheetData>
  <sheetProtection algorithmName="SHA-512" hashValue="WbRdJRTyfFbERvsy4G7CIGIupVHlyjznmsWVUBXNvOB2nFgL+iYwwMD6rK9OmdY0dJ2sZdIvSTN+pxu60qAQtg==" saltValue="BUBs4t89v3OfKB0zG1/0+w==" spinCount="100000" sheet="1" objects="1" scenarios="1" selectLockedCells="1"/>
  <mergeCells count="32">
    <mergeCell ref="E22:E23"/>
    <mergeCell ref="A2:I2"/>
    <mergeCell ref="A3:I3"/>
    <mergeCell ref="A4:B4"/>
    <mergeCell ref="C4:C5"/>
    <mergeCell ref="D4:D5"/>
    <mergeCell ref="G4:G5"/>
    <mergeCell ref="H4:H5"/>
    <mergeCell ref="I4:I5"/>
    <mergeCell ref="F4:F5"/>
    <mergeCell ref="E4:E5"/>
    <mergeCell ref="D6:I6"/>
    <mergeCell ref="A15:D15"/>
    <mergeCell ref="A19:D19"/>
    <mergeCell ref="A20:D20"/>
    <mergeCell ref="A21:D21"/>
    <mergeCell ref="A65:D65"/>
    <mergeCell ref="A66:D66"/>
    <mergeCell ref="A67:D67"/>
    <mergeCell ref="D69:G69"/>
    <mergeCell ref="I22:I23"/>
    <mergeCell ref="A24:I24"/>
    <mergeCell ref="A59:D59"/>
    <mergeCell ref="A62:D62"/>
    <mergeCell ref="A63:D63"/>
    <mergeCell ref="A64:D64"/>
    <mergeCell ref="A22:B22"/>
    <mergeCell ref="C22:C23"/>
    <mergeCell ref="D22:D23"/>
    <mergeCell ref="G22:G23"/>
    <mergeCell ref="H22:H23"/>
    <mergeCell ref="F22:F23"/>
  </mergeCells>
  <pageMargins left="0.25" right="0.25" top="0.75" bottom="0.75" header="0.3" footer="0.3"/>
  <pageSetup paperSize="9" scale="10" fitToHeight="0" orientation="landscape" r:id="rId1"/>
  <ignoredErrors>
    <ignoredError sqref="I3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AFC71-4074-4421-B3BA-A48695B6CE5B}">
  <dimension ref="A1:J13"/>
  <sheetViews>
    <sheetView workbookViewId="0">
      <selection activeCell="K20" sqref="K20"/>
    </sheetView>
  </sheetViews>
  <sheetFormatPr defaultRowHeight="14.4" x14ac:dyDescent="0.3"/>
  <cols>
    <col min="1" max="1" width="3" bestFit="1" customWidth="1"/>
  </cols>
  <sheetData>
    <row r="1" spans="1:10" x14ac:dyDescent="0.3">
      <c r="A1" t="s">
        <v>124</v>
      </c>
      <c r="B1" t="s">
        <v>125</v>
      </c>
    </row>
    <row r="2" spans="1:10" x14ac:dyDescent="0.3">
      <c r="B2" t="s">
        <v>126</v>
      </c>
    </row>
    <row r="3" spans="1:10" x14ac:dyDescent="0.3">
      <c r="B3" t="s">
        <v>127</v>
      </c>
    </row>
    <row r="4" spans="1:10" x14ac:dyDescent="0.3">
      <c r="B4" t="s">
        <v>128</v>
      </c>
    </row>
    <row r="5" spans="1:10" x14ac:dyDescent="0.3">
      <c r="A5" t="s">
        <v>129</v>
      </c>
      <c r="B5" t="s">
        <v>131</v>
      </c>
    </row>
    <row r="6" spans="1:10" x14ac:dyDescent="0.3">
      <c r="B6" t="s">
        <v>130</v>
      </c>
    </row>
    <row r="7" spans="1:10" x14ac:dyDescent="0.3">
      <c r="B7" t="s">
        <v>132</v>
      </c>
    </row>
    <row r="8" spans="1:10" x14ac:dyDescent="0.3">
      <c r="B8" t="s">
        <v>133</v>
      </c>
    </row>
    <row r="9" spans="1:10" x14ac:dyDescent="0.3">
      <c r="A9" t="s">
        <v>134</v>
      </c>
      <c r="B9" t="s">
        <v>135</v>
      </c>
    </row>
    <row r="10" spans="1:10" x14ac:dyDescent="0.3">
      <c r="B10" s="165" t="s">
        <v>136</v>
      </c>
      <c r="C10" s="165"/>
      <c r="D10" s="165"/>
      <c r="E10" s="165"/>
      <c r="F10" s="165"/>
      <c r="G10" s="165"/>
      <c r="H10" s="165"/>
      <c r="I10" s="165"/>
      <c r="J10" s="165"/>
    </row>
    <row r="11" spans="1:10" x14ac:dyDescent="0.3">
      <c r="B11" s="165"/>
      <c r="C11" s="165"/>
      <c r="D11" s="165"/>
      <c r="E11" s="165"/>
      <c r="F11" s="165"/>
      <c r="G11" s="165"/>
      <c r="H11" s="165"/>
      <c r="I11" s="165"/>
      <c r="J11" s="165"/>
    </row>
    <row r="12" spans="1:10" x14ac:dyDescent="0.3">
      <c r="B12" s="165" t="s">
        <v>137</v>
      </c>
      <c r="C12" s="165"/>
      <c r="D12" s="165"/>
      <c r="E12" s="165"/>
      <c r="F12" s="165"/>
      <c r="G12" s="165"/>
      <c r="H12" s="165"/>
      <c r="I12" s="165"/>
      <c r="J12" s="165"/>
    </row>
    <row r="13" spans="1:10" x14ac:dyDescent="0.3">
      <c r="B13" s="165"/>
      <c r="C13" s="165"/>
      <c r="D13" s="165"/>
      <c r="E13" s="165"/>
      <c r="F13" s="165"/>
      <c r="G13" s="165"/>
      <c r="H13" s="165"/>
      <c r="I13" s="165"/>
      <c r="J13" s="165"/>
    </row>
  </sheetData>
  <sheetProtection algorithmName="SHA-512" hashValue="c5m3IzFovOptP6s1Unpdjip7AO5QGkvXL7RfB+6OJyH8z4fCmCfbcJ473kN+NMJNpWls61sKJzujDrHfP6GdKw==" saltValue="d7Jjnzm3WV/YPfYGjJjQqA==" spinCount="100000" sheet="1" objects="1" scenarios="1"/>
  <mergeCells count="2">
    <mergeCell ref="B10:J11"/>
    <mergeCell ref="B12:J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Dane a poplatky</vt:lpstr>
      <vt:lpstr>Rozpočet</vt:lpstr>
      <vt:lpstr>Návod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ČEPAN Miroslav</dc:creator>
  <cp:lastModifiedBy>ČEPAN Miroslav</cp:lastModifiedBy>
  <cp:lastPrinted>2023-12-07T17:54:01Z</cp:lastPrinted>
  <dcterms:created xsi:type="dcterms:W3CDTF">2023-12-06T10:48:00Z</dcterms:created>
  <dcterms:modified xsi:type="dcterms:W3CDTF">2025-02-10T09:27:08Z</dcterms:modified>
</cp:coreProperties>
</file>